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General-Insurance\"/>
    </mc:Choice>
  </mc:AlternateContent>
  <bookViews>
    <workbookView xWindow="0" yWindow="0" windowWidth="21600" windowHeight="9735"/>
  </bookViews>
  <sheets>
    <sheet name="Revenue Gen 22" sheetId="17" r:id="rId1"/>
    <sheet name="Revenue Gen 21" sheetId="16" r:id="rId2"/>
    <sheet name="Revenue Gen 20" sheetId="15" r:id="rId3"/>
    <sheet name="Revenue Gen 19" sheetId="14" r:id="rId4"/>
    <sheet name="Revenue Gen 18" sheetId="13" r:id="rId5"/>
    <sheet name="Revenue Gen 17" sheetId="12" r:id="rId6"/>
    <sheet name="Revenue Gen 16" sheetId="11" r:id="rId7"/>
    <sheet name="Revenue Gen 15" sheetId="10" r:id="rId8"/>
    <sheet name="Revenue Gen 14" sheetId="7" r:id="rId9"/>
    <sheet name="Revenue Gen 13" sheetId="6" r:id="rId10"/>
    <sheet name="Revenue Gen 12" sheetId="5" r:id="rId11"/>
    <sheet name="Revenue Gen 11" sheetId="4" r:id="rId12"/>
    <sheet name="Revenue Gen 10" sheetId="3" r:id="rId13"/>
    <sheet name="Revenue Gen 09" sheetId="2" r:id="rId14"/>
    <sheet name="Revenue Gen 08" sheetId="9" r:id="rId15"/>
  </sheets>
  <calcPr calcId="152511"/>
</workbook>
</file>

<file path=xl/calcChain.xml><?xml version="1.0" encoding="utf-8"?>
<calcChain xmlns="http://schemas.openxmlformats.org/spreadsheetml/2006/main">
  <c r="Q26" i="17" l="1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26" i="16" l="1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Q7" i="16"/>
  <c r="C21" i="15" l="1"/>
  <c r="D21" i="15"/>
  <c r="G21" i="15"/>
  <c r="H21" i="15"/>
  <c r="J21" i="15"/>
  <c r="K21" i="15"/>
  <c r="L21" i="15"/>
  <c r="M21" i="15"/>
  <c r="N21" i="15"/>
  <c r="P21" i="15"/>
  <c r="B21" i="15"/>
  <c r="Q26" i="15"/>
  <c r="Q25" i="15"/>
  <c r="Q24" i="15"/>
  <c r="Q23" i="15"/>
  <c r="Q22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21" i="15" l="1"/>
  <c r="Q12" i="14"/>
  <c r="Q13" i="14"/>
  <c r="Q14" i="14"/>
  <c r="Q15" i="14"/>
  <c r="Q16" i="14"/>
  <c r="Q17" i="14"/>
  <c r="Q26" i="14" l="1"/>
  <c r="Q25" i="14"/>
  <c r="Q24" i="14"/>
  <c r="Q23" i="14"/>
  <c r="Q22" i="14"/>
  <c r="Q21" i="14"/>
  <c r="Q20" i="14"/>
  <c r="Q19" i="14"/>
  <c r="Q18" i="14"/>
  <c r="Q11" i="14"/>
  <c r="Q10" i="14"/>
  <c r="Q9" i="14"/>
  <c r="Q8" i="14"/>
  <c r="Q7" i="14"/>
  <c r="Q7" i="11" l="1"/>
  <c r="Q26" i="13" l="1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26" i="12" l="1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R12" i="7" l="1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8" i="7"/>
  <c r="R9" i="7"/>
  <c r="R10" i="7"/>
  <c r="R11" i="7"/>
  <c r="R7" i="7"/>
  <c r="K25" i="11" l="1"/>
  <c r="K23" i="11"/>
  <c r="K21" i="11"/>
  <c r="K17" i="11"/>
  <c r="K16" i="11"/>
  <c r="K11" i="11" l="1"/>
  <c r="Q26" i="11" l="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8" i="10" l="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7" i="10"/>
  <c r="Q26" i="7" l="1"/>
  <c r="J25" i="9" l="1"/>
  <c r="Q24" i="9"/>
  <c r="Q22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Q21" i="9" s="1"/>
  <c r="Q20" i="9"/>
  <c r="Q19" i="9"/>
  <c r="P16" i="9"/>
  <c r="O16" i="9"/>
  <c r="N16" i="9"/>
  <c r="M16" i="9"/>
  <c r="L16" i="9"/>
  <c r="K16" i="9"/>
  <c r="J16" i="9"/>
  <c r="I16" i="9"/>
  <c r="G16" i="9"/>
  <c r="F16" i="9"/>
  <c r="E16" i="9"/>
  <c r="D16" i="9"/>
  <c r="C16" i="9"/>
  <c r="Q16" i="9" s="1"/>
  <c r="B16" i="9"/>
  <c r="P15" i="9"/>
  <c r="P17" i="9" s="1"/>
  <c r="O15" i="9"/>
  <c r="O17" i="9" s="1"/>
  <c r="N15" i="9"/>
  <c r="N17" i="9" s="1"/>
  <c r="M15" i="9"/>
  <c r="L15" i="9"/>
  <c r="L17" i="9" s="1"/>
  <c r="K15" i="9"/>
  <c r="K17" i="9" s="1"/>
  <c r="J15" i="9"/>
  <c r="J17" i="9" s="1"/>
  <c r="I15" i="9"/>
  <c r="H15" i="9"/>
  <c r="H17" i="9" s="1"/>
  <c r="G15" i="9"/>
  <c r="F15" i="9"/>
  <c r="F17" i="9" s="1"/>
  <c r="E15" i="9"/>
  <c r="E17" i="9" s="1"/>
  <c r="D15" i="9"/>
  <c r="D17" i="9" s="1"/>
  <c r="C15" i="9"/>
  <c r="B15" i="9"/>
  <c r="B17" i="9" s="1"/>
  <c r="Q14" i="9"/>
  <c r="Q13" i="9"/>
  <c r="P10" i="9"/>
  <c r="O10" i="9"/>
  <c r="N10" i="9"/>
  <c r="M10" i="9"/>
  <c r="L10" i="9"/>
  <c r="K10" i="9"/>
  <c r="J10" i="9"/>
  <c r="I10" i="9"/>
  <c r="G10" i="9"/>
  <c r="F10" i="9"/>
  <c r="E10" i="9"/>
  <c r="E11" i="9" s="1"/>
  <c r="E23" i="9" s="1"/>
  <c r="E25" i="9" s="1"/>
  <c r="D10" i="9"/>
  <c r="C10" i="9"/>
  <c r="B10" i="9"/>
  <c r="P9" i="9"/>
  <c r="P11" i="9" s="1"/>
  <c r="P23" i="9" s="1"/>
  <c r="P25" i="9" s="1"/>
  <c r="O9" i="9"/>
  <c r="O11" i="9" s="1"/>
  <c r="N9" i="9"/>
  <c r="M9" i="9"/>
  <c r="L9" i="9"/>
  <c r="L11" i="9" s="1"/>
  <c r="L23" i="9" s="1"/>
  <c r="L25" i="9" s="1"/>
  <c r="K9" i="9"/>
  <c r="K11" i="9" s="1"/>
  <c r="J9" i="9"/>
  <c r="I9" i="9"/>
  <c r="H9" i="9"/>
  <c r="H11" i="9" s="1"/>
  <c r="H23" i="9" s="1"/>
  <c r="H25" i="9" s="1"/>
  <c r="G9" i="9"/>
  <c r="F9" i="9"/>
  <c r="F11" i="9" s="1"/>
  <c r="F23" i="9" s="1"/>
  <c r="F25" i="9" s="1"/>
  <c r="E9" i="9"/>
  <c r="D9" i="9"/>
  <c r="D11" i="9" s="1"/>
  <c r="D23" i="9" s="1"/>
  <c r="D25" i="9" s="1"/>
  <c r="C9" i="9"/>
  <c r="B9" i="9"/>
  <c r="B11" i="9" s="1"/>
  <c r="Q8" i="9"/>
  <c r="Q7" i="9"/>
  <c r="J11" i="9" l="1"/>
  <c r="N11" i="9"/>
  <c r="N23" i="9" s="1"/>
  <c r="N25" i="9" s="1"/>
  <c r="C11" i="9"/>
  <c r="G11" i="9"/>
  <c r="Q10" i="9"/>
  <c r="I11" i="9"/>
  <c r="I23" i="9" s="1"/>
  <c r="I25" i="9" s="1"/>
  <c r="M11" i="9"/>
  <c r="C17" i="9"/>
  <c r="C23" i="9" s="1"/>
  <c r="C25" i="9" s="1"/>
  <c r="G17" i="9"/>
  <c r="I17" i="9"/>
  <c r="M17" i="9"/>
  <c r="Q11" i="9"/>
  <c r="G23" i="9"/>
  <c r="G25" i="9" s="1"/>
  <c r="K23" i="9"/>
  <c r="K25" i="9" s="1"/>
  <c r="O23" i="9"/>
  <c r="O25" i="9" s="1"/>
  <c r="M23" i="9"/>
  <c r="M25" i="9" s="1"/>
  <c r="B23" i="9"/>
  <c r="Q17" i="9"/>
  <c r="Q9" i="9"/>
  <c r="Q15" i="9"/>
  <c r="Q11" i="7"/>
  <c r="Q23" i="9" l="1"/>
  <c r="B25" i="9"/>
  <c r="Q25" i="9" s="1"/>
  <c r="Q25" i="7"/>
  <c r="Q24" i="7"/>
  <c r="Q23" i="7"/>
  <c r="Q22" i="7"/>
  <c r="Q21" i="7"/>
  <c r="Q20" i="7"/>
  <c r="Q19" i="7"/>
  <c r="Q17" i="7"/>
  <c r="Q16" i="7"/>
  <c r="Q15" i="7"/>
  <c r="Q14" i="7"/>
  <c r="Q13" i="7"/>
  <c r="Q10" i="7"/>
  <c r="Q9" i="7"/>
  <c r="Q8" i="7"/>
  <c r="Q7" i="7"/>
  <c r="P24" i="6" l="1"/>
  <c r="P22" i="6"/>
  <c r="P21" i="6"/>
  <c r="P20" i="6"/>
  <c r="P19" i="6"/>
  <c r="P14" i="6"/>
  <c r="P13" i="6"/>
  <c r="P8" i="6"/>
  <c r="P7" i="6"/>
  <c r="Q24" i="5"/>
  <c r="Q22" i="5"/>
  <c r="P21" i="5"/>
  <c r="O21" i="5"/>
  <c r="N21" i="5"/>
  <c r="M21" i="5"/>
  <c r="L21" i="5"/>
  <c r="K21" i="5"/>
  <c r="J21" i="5"/>
  <c r="I21" i="5"/>
  <c r="G21" i="5"/>
  <c r="F21" i="5"/>
  <c r="E21" i="5"/>
  <c r="D21" i="5"/>
  <c r="B21" i="5"/>
  <c r="Q21" i="5" s="1"/>
  <c r="Q20" i="5"/>
  <c r="Q19" i="5"/>
  <c r="M16" i="5"/>
  <c r="K16" i="5"/>
  <c r="J16" i="5"/>
  <c r="G16" i="5"/>
  <c r="D16" i="5"/>
  <c r="P15" i="5"/>
  <c r="P17" i="5" s="1"/>
  <c r="O15" i="5"/>
  <c r="O17" i="5" s="1"/>
  <c r="N15" i="5"/>
  <c r="N17" i="5" s="1"/>
  <c r="M15" i="5"/>
  <c r="M17" i="5" s="1"/>
  <c r="L15" i="5"/>
  <c r="L17" i="5" s="1"/>
  <c r="K15" i="5"/>
  <c r="J15" i="5"/>
  <c r="J17" i="5" s="1"/>
  <c r="I15" i="5"/>
  <c r="I17" i="5" s="1"/>
  <c r="G15" i="5"/>
  <c r="G17" i="5" s="1"/>
  <c r="F15" i="5"/>
  <c r="F17" i="5" s="1"/>
  <c r="E15" i="5"/>
  <c r="E17" i="5" s="1"/>
  <c r="D15" i="5"/>
  <c r="D17" i="5" s="1"/>
  <c r="B15" i="5"/>
  <c r="B17" i="5" s="1"/>
  <c r="Q14" i="5"/>
  <c r="Q13" i="5"/>
  <c r="M10" i="5"/>
  <c r="K10" i="5"/>
  <c r="J10" i="5"/>
  <c r="G10" i="5"/>
  <c r="D10" i="5"/>
  <c r="P9" i="5"/>
  <c r="P11" i="5" s="1"/>
  <c r="P23" i="5" s="1"/>
  <c r="P25" i="5" s="1"/>
  <c r="O9" i="5"/>
  <c r="O11" i="5" s="1"/>
  <c r="O23" i="5" s="1"/>
  <c r="O25" i="5" s="1"/>
  <c r="N9" i="5"/>
  <c r="N11" i="5" s="1"/>
  <c r="N23" i="5" s="1"/>
  <c r="N25" i="5" s="1"/>
  <c r="M9" i="5"/>
  <c r="M11" i="5" s="1"/>
  <c r="M23" i="5" s="1"/>
  <c r="M25" i="5" s="1"/>
  <c r="L9" i="5"/>
  <c r="L11" i="5" s="1"/>
  <c r="L23" i="5" s="1"/>
  <c r="L25" i="5" s="1"/>
  <c r="K9" i="5"/>
  <c r="J9" i="5"/>
  <c r="J11" i="5" s="1"/>
  <c r="J23" i="5" s="1"/>
  <c r="J25" i="5" s="1"/>
  <c r="I9" i="5"/>
  <c r="I11" i="5" s="1"/>
  <c r="I23" i="5" s="1"/>
  <c r="I25" i="5" s="1"/>
  <c r="G9" i="5"/>
  <c r="G11" i="5" s="1"/>
  <c r="G23" i="5" s="1"/>
  <c r="G25" i="5" s="1"/>
  <c r="F9" i="5"/>
  <c r="F11" i="5" s="1"/>
  <c r="F23" i="5" s="1"/>
  <c r="F25" i="5" s="1"/>
  <c r="E9" i="5"/>
  <c r="E11" i="5" s="1"/>
  <c r="E23" i="5" s="1"/>
  <c r="E25" i="5" s="1"/>
  <c r="D9" i="5"/>
  <c r="D11" i="5" s="1"/>
  <c r="D23" i="5" s="1"/>
  <c r="D25" i="5" s="1"/>
  <c r="B9" i="5"/>
  <c r="B11" i="5" s="1"/>
  <c r="Q8" i="5"/>
  <c r="Q7" i="5"/>
  <c r="Q24" i="4"/>
  <c r="Q22" i="4"/>
  <c r="Q20" i="4"/>
  <c r="Q19" i="4"/>
  <c r="Q14" i="4"/>
  <c r="Q13" i="4"/>
  <c r="Q8" i="4"/>
  <c r="Q7" i="4"/>
  <c r="P21" i="4"/>
  <c r="O21" i="4"/>
  <c r="N21" i="4"/>
  <c r="M21" i="4"/>
  <c r="L21" i="4"/>
  <c r="K21" i="4"/>
  <c r="J21" i="4"/>
  <c r="I21" i="4"/>
  <c r="G21" i="4"/>
  <c r="F21" i="4"/>
  <c r="E21" i="4"/>
  <c r="D21" i="4"/>
  <c r="C21" i="4"/>
  <c r="B21" i="4"/>
  <c r="Q21" i="4" s="1"/>
  <c r="P16" i="4"/>
  <c r="O16" i="4"/>
  <c r="N16" i="4"/>
  <c r="M16" i="4"/>
  <c r="L16" i="4"/>
  <c r="K16" i="4"/>
  <c r="J16" i="4"/>
  <c r="I16" i="4"/>
  <c r="G16" i="4"/>
  <c r="F16" i="4"/>
  <c r="E16" i="4"/>
  <c r="D16" i="4"/>
  <c r="C16" i="4"/>
  <c r="B16" i="4"/>
  <c r="Q16" i="4" s="1"/>
  <c r="P15" i="4"/>
  <c r="P17" i="4" s="1"/>
  <c r="O15" i="4"/>
  <c r="O17" i="4" s="1"/>
  <c r="N15" i="4"/>
  <c r="N17" i="4" s="1"/>
  <c r="M15" i="4"/>
  <c r="M17" i="4" s="1"/>
  <c r="L15" i="4"/>
  <c r="L17" i="4" s="1"/>
  <c r="K15" i="4"/>
  <c r="K17" i="4" s="1"/>
  <c r="J15" i="4"/>
  <c r="J17" i="4" s="1"/>
  <c r="I15" i="4"/>
  <c r="I17" i="4" s="1"/>
  <c r="G15" i="4"/>
  <c r="G17" i="4" s="1"/>
  <c r="F15" i="4"/>
  <c r="F17" i="4" s="1"/>
  <c r="E15" i="4"/>
  <c r="E17" i="4" s="1"/>
  <c r="D15" i="4"/>
  <c r="D17" i="4" s="1"/>
  <c r="C15" i="4"/>
  <c r="C17" i="4" s="1"/>
  <c r="B15" i="4"/>
  <c r="B17" i="4" s="1"/>
  <c r="Q17" i="4" s="1"/>
  <c r="P10" i="4"/>
  <c r="O10" i="4"/>
  <c r="N10" i="4"/>
  <c r="M10" i="4"/>
  <c r="L10" i="4"/>
  <c r="K10" i="4"/>
  <c r="J10" i="4"/>
  <c r="I10" i="4"/>
  <c r="G10" i="4"/>
  <c r="F10" i="4"/>
  <c r="E10" i="4"/>
  <c r="D10" i="4"/>
  <c r="C10" i="4"/>
  <c r="B10" i="4"/>
  <c r="Q10" i="4" s="1"/>
  <c r="P9" i="4"/>
  <c r="P11" i="4" s="1"/>
  <c r="P23" i="4" s="1"/>
  <c r="P25" i="4" s="1"/>
  <c r="O9" i="4"/>
  <c r="O11" i="4" s="1"/>
  <c r="O23" i="4" s="1"/>
  <c r="O25" i="4" s="1"/>
  <c r="N9" i="4"/>
  <c r="N11" i="4" s="1"/>
  <c r="N23" i="4" s="1"/>
  <c r="N25" i="4" s="1"/>
  <c r="M9" i="4"/>
  <c r="M11" i="4" s="1"/>
  <c r="M23" i="4" s="1"/>
  <c r="M25" i="4" s="1"/>
  <c r="L9" i="4"/>
  <c r="L11" i="4" s="1"/>
  <c r="L23" i="4" s="1"/>
  <c r="L25" i="4" s="1"/>
  <c r="K9" i="4"/>
  <c r="K11" i="4" s="1"/>
  <c r="K23" i="4" s="1"/>
  <c r="K25" i="4" s="1"/>
  <c r="J9" i="4"/>
  <c r="J11" i="4" s="1"/>
  <c r="J23" i="4" s="1"/>
  <c r="J25" i="4" s="1"/>
  <c r="I9" i="4"/>
  <c r="I11" i="4" s="1"/>
  <c r="I23" i="4" s="1"/>
  <c r="I25" i="4" s="1"/>
  <c r="G9" i="4"/>
  <c r="G11" i="4" s="1"/>
  <c r="G23" i="4" s="1"/>
  <c r="G25" i="4" s="1"/>
  <c r="F9" i="4"/>
  <c r="F11" i="4" s="1"/>
  <c r="F23" i="4" s="1"/>
  <c r="F25" i="4" s="1"/>
  <c r="E9" i="4"/>
  <c r="E11" i="4" s="1"/>
  <c r="E23" i="4" s="1"/>
  <c r="E25" i="4" s="1"/>
  <c r="D9" i="4"/>
  <c r="D11" i="4" s="1"/>
  <c r="D23" i="4" s="1"/>
  <c r="D25" i="4" s="1"/>
  <c r="C9" i="4"/>
  <c r="C11" i="4" s="1"/>
  <c r="C23" i="4" s="1"/>
  <c r="C25" i="4" s="1"/>
  <c r="B9" i="4"/>
  <c r="B11" i="4" s="1"/>
  <c r="Q11" i="4" s="1"/>
  <c r="M25" i="3"/>
  <c r="K25" i="3"/>
  <c r="H25" i="3"/>
  <c r="D25" i="3"/>
  <c r="P24" i="3"/>
  <c r="P25" i="3" s="1"/>
  <c r="P22" i="3"/>
  <c r="Q22" i="3"/>
  <c r="P21" i="3"/>
  <c r="O21" i="3"/>
  <c r="N21" i="3"/>
  <c r="M21" i="3"/>
  <c r="L21" i="3"/>
  <c r="K21" i="3"/>
  <c r="I21" i="3"/>
  <c r="H21" i="3"/>
  <c r="G21" i="3"/>
  <c r="F21" i="3"/>
  <c r="E21" i="3"/>
  <c r="D21" i="3"/>
  <c r="C21" i="3"/>
  <c r="B21" i="3"/>
  <c r="Q21" i="3" s="1"/>
  <c r="Q20" i="3"/>
  <c r="Q19" i="3"/>
  <c r="D17" i="3"/>
  <c r="P16" i="3"/>
  <c r="O16" i="3"/>
  <c r="O17" i="3"/>
  <c r="N16" i="3"/>
  <c r="M16" i="3"/>
  <c r="K16" i="3"/>
  <c r="I16" i="3"/>
  <c r="H16" i="3"/>
  <c r="G16" i="3"/>
  <c r="F16" i="3"/>
  <c r="E16" i="3"/>
  <c r="C16" i="3"/>
  <c r="B16" i="3"/>
  <c r="N15" i="3"/>
  <c r="N17" i="3" s="1"/>
  <c r="M15" i="3"/>
  <c r="M17" i="3" s="1"/>
  <c r="L15" i="3"/>
  <c r="L17" i="3" s="1"/>
  <c r="K15" i="3"/>
  <c r="K17" i="3" s="1"/>
  <c r="I15" i="3"/>
  <c r="H15" i="3"/>
  <c r="H17" i="3" s="1"/>
  <c r="G15" i="3"/>
  <c r="F15" i="3"/>
  <c r="F17" i="3" s="1"/>
  <c r="E15" i="3"/>
  <c r="C15" i="3"/>
  <c r="C17" i="3" s="1"/>
  <c r="B15" i="3"/>
  <c r="P14" i="3"/>
  <c r="P15" i="3" s="1"/>
  <c r="P17" i="3" s="1"/>
  <c r="Q13" i="3"/>
  <c r="P10" i="3"/>
  <c r="O10" i="3"/>
  <c r="N10" i="3"/>
  <c r="M10" i="3"/>
  <c r="M11" i="3"/>
  <c r="K10" i="3"/>
  <c r="I10" i="3"/>
  <c r="I11" i="3" s="1"/>
  <c r="H10" i="3"/>
  <c r="F10" i="3"/>
  <c r="E10" i="3"/>
  <c r="D10" i="3"/>
  <c r="C10" i="3"/>
  <c r="B10" i="3"/>
  <c r="Q10" i="3" s="1"/>
  <c r="O9" i="3"/>
  <c r="O11" i="3" s="1"/>
  <c r="O23" i="3" s="1"/>
  <c r="O25" i="3" s="1"/>
  <c r="N9" i="3"/>
  <c r="N11" i="3" s="1"/>
  <c r="L9" i="3"/>
  <c r="L11" i="3" s="1"/>
  <c r="K9" i="3"/>
  <c r="K11" i="3" s="1"/>
  <c r="H9" i="3"/>
  <c r="H11" i="3" s="1"/>
  <c r="G9" i="3"/>
  <c r="G11" i="3" s="1"/>
  <c r="F9" i="3"/>
  <c r="F11" i="3" s="1"/>
  <c r="E9" i="3"/>
  <c r="E11" i="3" s="1"/>
  <c r="D9" i="3"/>
  <c r="D11" i="3" s="1"/>
  <c r="C9" i="3"/>
  <c r="C11" i="3"/>
  <c r="B9" i="3"/>
  <c r="P8" i="3"/>
  <c r="Q8" i="3" s="1"/>
  <c r="P7" i="3"/>
  <c r="P9" i="3" s="1"/>
  <c r="O7" i="2"/>
  <c r="O8" i="2"/>
  <c r="C9" i="2"/>
  <c r="D9" i="2"/>
  <c r="D11" i="2" s="1"/>
  <c r="G9" i="2"/>
  <c r="H9" i="2"/>
  <c r="I9" i="2"/>
  <c r="J9" i="2"/>
  <c r="M9" i="2"/>
  <c r="B10" i="2"/>
  <c r="C10" i="2"/>
  <c r="D10" i="2"/>
  <c r="E10" i="2"/>
  <c r="E11" i="2"/>
  <c r="G10" i="2"/>
  <c r="H10" i="2"/>
  <c r="I10" i="2"/>
  <c r="J10" i="2"/>
  <c r="M10" i="2"/>
  <c r="N10" i="2"/>
  <c r="N11" i="2" s="1"/>
  <c r="B11" i="2"/>
  <c r="F11" i="2"/>
  <c r="G11" i="2"/>
  <c r="H11" i="2"/>
  <c r="I11" i="2"/>
  <c r="J11" i="2"/>
  <c r="K11" i="2"/>
  <c r="L11" i="2"/>
  <c r="L23" i="2" s="1"/>
  <c r="L25" i="2" s="1"/>
  <c r="O13" i="2"/>
  <c r="O14" i="2"/>
  <c r="C15" i="2"/>
  <c r="D15" i="2"/>
  <c r="D17" i="2" s="1"/>
  <c r="G15" i="2"/>
  <c r="H15" i="2"/>
  <c r="I15" i="2"/>
  <c r="M15" i="2"/>
  <c r="N15" i="2"/>
  <c r="O15" i="2"/>
  <c r="B16" i="2"/>
  <c r="C16" i="2"/>
  <c r="C17" i="2" s="1"/>
  <c r="D16" i="2"/>
  <c r="E16" i="2"/>
  <c r="E17" i="2" s="1"/>
  <c r="E23" i="2" s="1"/>
  <c r="E25" i="2" s="1"/>
  <c r="G16" i="2"/>
  <c r="G17" i="2" s="1"/>
  <c r="G23" i="2" s="1"/>
  <c r="G25" i="2" s="1"/>
  <c r="H16" i="2"/>
  <c r="I16" i="2"/>
  <c r="I17" i="2" s="1"/>
  <c r="I23" i="2" s="1"/>
  <c r="I25" i="2" s="1"/>
  <c r="J16" i="2"/>
  <c r="M16" i="2"/>
  <c r="N16" i="2"/>
  <c r="B17" i="2"/>
  <c r="F17" i="2"/>
  <c r="J17" i="2"/>
  <c r="K17" i="2"/>
  <c r="L17" i="2"/>
  <c r="J19" i="2"/>
  <c r="O19" i="2"/>
  <c r="J20" i="2"/>
  <c r="O20" i="2"/>
  <c r="B21" i="2"/>
  <c r="C21" i="2"/>
  <c r="D21" i="2"/>
  <c r="F21" i="2"/>
  <c r="G21" i="2"/>
  <c r="H21" i="2"/>
  <c r="I21" i="2"/>
  <c r="J21" i="2"/>
  <c r="K21" i="2"/>
  <c r="L21" i="2"/>
  <c r="M21" i="2"/>
  <c r="N21" i="2"/>
  <c r="J22" i="2"/>
  <c r="O22" i="2" s="1"/>
  <c r="B23" i="2"/>
  <c r="F23" i="2"/>
  <c r="F25" i="2" s="1"/>
  <c r="K23" i="2"/>
  <c r="K25" i="2" s="1"/>
  <c r="J24" i="2"/>
  <c r="O24" i="2" s="1"/>
  <c r="B25" i="2"/>
  <c r="J23" i="2"/>
  <c r="J25" i="2" s="1"/>
  <c r="C11" i="2"/>
  <c r="B17" i="3"/>
  <c r="D23" i="2" l="1"/>
  <c r="D25" i="2" s="1"/>
  <c r="O11" i="2"/>
  <c r="O10" i="2"/>
  <c r="F23" i="3"/>
  <c r="F25" i="3" s="1"/>
  <c r="Q16" i="3"/>
  <c r="Q14" i="3"/>
  <c r="B11" i="3"/>
  <c r="O21" i="2"/>
  <c r="H17" i="2"/>
  <c r="O17" i="2" s="1"/>
  <c r="O16" i="2"/>
  <c r="N17" i="2"/>
  <c r="O9" i="2"/>
  <c r="Q7" i="3"/>
  <c r="E17" i="3"/>
  <c r="G17" i="3"/>
  <c r="G23" i="3" s="1"/>
  <c r="G25" i="3" s="1"/>
  <c r="I17" i="3"/>
  <c r="I23" i="3" s="1"/>
  <c r="I25" i="3" s="1"/>
  <c r="L23" i="3"/>
  <c r="L25" i="3" s="1"/>
  <c r="N23" i="3"/>
  <c r="N25" i="3" s="1"/>
  <c r="Q24" i="3"/>
  <c r="K11" i="5"/>
  <c r="P9" i="6"/>
  <c r="P16" i="6"/>
  <c r="P10" i="6"/>
  <c r="P17" i="6"/>
  <c r="P15" i="6"/>
  <c r="Q15" i="3"/>
  <c r="C23" i="3"/>
  <c r="Q17" i="3"/>
  <c r="N23" i="2"/>
  <c r="N25" i="2" s="1"/>
  <c r="P11" i="3"/>
  <c r="Q11" i="3" s="1"/>
  <c r="Q9" i="3"/>
  <c r="C23" i="2"/>
  <c r="Q9" i="4"/>
  <c r="K23" i="5"/>
  <c r="K25" i="5" s="1"/>
  <c r="K17" i="5"/>
  <c r="Q17" i="5" s="1"/>
  <c r="Q15" i="4"/>
  <c r="Q10" i="5"/>
  <c r="Q16" i="5"/>
  <c r="B23" i="5"/>
  <c r="Q11" i="5"/>
  <c r="Q9" i="5"/>
  <c r="Q15" i="5"/>
  <c r="B23" i="4"/>
  <c r="Q23" i="4" s="1"/>
  <c r="P11" i="6" l="1"/>
  <c r="C25" i="2"/>
  <c r="O25" i="2" s="1"/>
  <c r="O23" i="2"/>
  <c r="Q23" i="3"/>
  <c r="C25" i="3"/>
  <c r="Q25" i="3" s="1"/>
  <c r="B25" i="5"/>
  <c r="Q25" i="5" s="1"/>
  <c r="Q23" i="5"/>
  <c r="B25" i="4"/>
  <c r="Q25" i="4" s="1"/>
  <c r="P23" i="6" l="1"/>
  <c r="P25" i="6"/>
</calcChain>
</file>

<file path=xl/sharedStrings.xml><?xml version="1.0" encoding="utf-8"?>
<sst xmlns="http://schemas.openxmlformats.org/spreadsheetml/2006/main" count="616" uniqueCount="100">
  <si>
    <t>GENERAL  INSURANCE  BUSINESS</t>
  </si>
  <si>
    <t>BAI</t>
  </si>
  <si>
    <t>CEYLINCO STELLA</t>
  </si>
  <si>
    <t>GFA</t>
  </si>
  <si>
    <t>IOGA</t>
  </si>
  <si>
    <t>JUBILEE</t>
  </si>
  <si>
    <t>LAMCO</t>
  </si>
  <si>
    <t>MTIAN EAGLE</t>
  </si>
  <si>
    <t>MTIUS UNION</t>
  </si>
  <si>
    <t>NEW INDIA</t>
  </si>
  <si>
    <t>SICOM</t>
  </si>
  <si>
    <t>SUN</t>
  </si>
  <si>
    <t>SWAN</t>
  </si>
  <si>
    <t>TOTAL</t>
  </si>
  <si>
    <t>1.  PREMIUMS</t>
  </si>
  <si>
    <t>Gross Premiums</t>
  </si>
  <si>
    <t>Reinsurance</t>
  </si>
  <si>
    <t>Net premiums</t>
  </si>
  <si>
    <t>Net earned premiums</t>
  </si>
  <si>
    <t>2.  CLAIMS</t>
  </si>
  <si>
    <t>Gross claims</t>
  </si>
  <si>
    <t xml:space="preserve">Net claims </t>
  </si>
  <si>
    <t>Net claims incurred</t>
  </si>
  <si>
    <t>3.  COMMISSIONS</t>
  </si>
  <si>
    <t>Commissions received</t>
  </si>
  <si>
    <t>Commissions paid</t>
  </si>
  <si>
    <t>Net Commissions</t>
  </si>
  <si>
    <t>4.  MANAGEMENT EXPENSES</t>
  </si>
  <si>
    <t xml:space="preserve">5.  UNDERWRITING PROFIT/(LOSS) </t>
  </si>
  <si>
    <t>6.  INVESTMENT INCOME</t>
  </si>
  <si>
    <t>7.  OPERATING PROFIT/LOSS CARRIED FORWARD TO PROFIT &amp; LOSS ACCOUNT</t>
  </si>
  <si>
    <r>
      <t>(Increase)</t>
    </r>
    <r>
      <rPr>
        <sz val="10"/>
        <color indexed="8"/>
        <rFont val="Arial"/>
        <family val="2"/>
      </rPr>
      <t xml:space="preserve"> / </t>
    </r>
    <r>
      <rPr>
        <sz val="10"/>
        <color indexed="8"/>
        <rFont val="Arial"/>
        <family val="2"/>
      </rPr>
      <t>Decrease</t>
    </r>
    <r>
      <rPr>
        <sz val="10"/>
        <color indexed="8"/>
        <rFont val="Arial"/>
        <family val="2"/>
      </rPr>
      <t xml:space="preserve"> in Unearned Premium Reserve</t>
    </r>
  </si>
  <si>
    <r>
      <t xml:space="preserve">Net increase / </t>
    </r>
    <r>
      <rPr>
        <sz val="10"/>
        <color indexed="8"/>
        <rFont val="Arial"/>
        <family val="2"/>
      </rPr>
      <t>(decrease)</t>
    </r>
    <r>
      <rPr>
        <sz val="10"/>
        <color indexed="8"/>
        <rFont val="Arial"/>
        <family val="2"/>
      </rPr>
      <t xml:space="preserve"> in outstanding claims reserve</t>
    </r>
  </si>
  <si>
    <t>INCOME &amp; EXPENDITURE FOR YEAR 2009 (BY INDIVIDUAL INSURER)</t>
  </si>
  <si>
    <t>ALBAT ROSS</t>
  </si>
  <si>
    <t>LA PRUD ENCE</t>
  </si>
  <si>
    <t>INCOME &amp; EXPENDITURE FOR YEAR 2010 (BY INDIVIDUAL INSURER)</t>
  </si>
  <si>
    <t>(Amount Rs 000)</t>
  </si>
  <si>
    <t>CIM</t>
  </si>
  <si>
    <t>CREDIT GUA</t>
  </si>
  <si>
    <t>LAPRUD</t>
  </si>
  <si>
    <t>MUA</t>
  </si>
  <si>
    <t>PHOENIX</t>
  </si>
  <si>
    <r>
      <t>(Increase)</t>
    </r>
    <r>
      <rPr>
        <sz val="10"/>
        <rFont val="Arial"/>
        <family val="2"/>
      </rPr>
      <t xml:space="preserve"> / Decrease in Unearned Premium Reserve</t>
    </r>
  </si>
  <si>
    <r>
      <t xml:space="preserve">Net increase / </t>
    </r>
    <r>
      <rPr>
        <sz val="10"/>
        <rFont val="Arial"/>
        <family val="2"/>
      </rPr>
      <t>(decrease) in outstanding claims reserve</t>
    </r>
  </si>
  <si>
    <t>COMPANYWISE SUMMARY OF INCOME &amp; EXPENDITURE FOR YEAR 2011</t>
  </si>
  <si>
    <t>(Increase) / Decrease in Unearned Premium Reserve</t>
  </si>
  <si>
    <t>Net increase / (decrease) in outstanding claims reserve</t>
  </si>
  <si>
    <t xml:space="preserve">BAI </t>
  </si>
  <si>
    <t>BAI i</t>
  </si>
  <si>
    <r>
      <t>(Increase)</t>
    </r>
    <r>
      <rPr>
        <sz val="10"/>
        <rFont val="Arial"/>
        <family val="2"/>
      </rPr>
      <t xml:space="preserve"> / Decrease in Unearned Premium Reserve</t>
    </r>
  </si>
  <si>
    <r>
      <t xml:space="preserve">Net increase / </t>
    </r>
    <r>
      <rPr>
        <sz val="10"/>
        <rFont val="Arial"/>
        <family val="2"/>
      </rPr>
      <t>(decrease) in outstanding claims reserve</t>
    </r>
  </si>
  <si>
    <t>COMPANYWISE SUMMARY OF INCOME &amp; EXPENDITURE FOR YEAR 2012</t>
  </si>
  <si>
    <t>BAI G</t>
  </si>
  <si>
    <t>M EAGLE</t>
  </si>
  <si>
    <t>M UNION</t>
  </si>
  <si>
    <t>COMPANYWISE SUMMARY OF INCOME &amp; EXPENDITURE FOR YEAR 2013</t>
  </si>
  <si>
    <t>Gross</t>
  </si>
  <si>
    <t>Net</t>
  </si>
  <si>
    <t>Increase in Unearned Premium Reserve</t>
  </si>
  <si>
    <t>Net Earned Premiums</t>
  </si>
  <si>
    <t>Net increase in Outstanding Claim reserves</t>
  </si>
  <si>
    <t>Net Claims Incurred</t>
  </si>
  <si>
    <t>Received</t>
  </si>
  <si>
    <t>Paid</t>
  </si>
  <si>
    <t>COMPANYWISE SUMMARY OF INCOME &amp; EXPENDITURE FOR YEAR 2014</t>
  </si>
  <si>
    <t>PREMIUMS</t>
  </si>
  <si>
    <t>CLAIMS</t>
  </si>
  <si>
    <t>COMMISSIONS</t>
  </si>
  <si>
    <t>MANAGEMENT EXPENSES</t>
  </si>
  <si>
    <t>UNDERWRITING PROFIT</t>
  </si>
  <si>
    <t>INVESTMENT INCOME</t>
  </si>
  <si>
    <t>OPERATING PROFIT CARRIED FORWARD TO P&amp;L</t>
  </si>
  <si>
    <t>TAXATION</t>
  </si>
  <si>
    <t>* Incidental business</t>
  </si>
  <si>
    <t>** Newly licensed companies</t>
  </si>
  <si>
    <t>BAI*</t>
  </si>
  <si>
    <t>QUANTUM II**</t>
  </si>
  <si>
    <t>SWAN SPECIALITY RISK**</t>
  </si>
  <si>
    <t>INCOME &amp; EXPENDITURE FOR YEAR 2008 (BY INDIVIDUAL INSURER)</t>
  </si>
  <si>
    <t xml:space="preserve"> </t>
  </si>
  <si>
    <t>ALBATROSS</t>
  </si>
  <si>
    <t>ISLAND GEN</t>
  </si>
  <si>
    <t>LAPRUDENCE</t>
  </si>
  <si>
    <t>COMPANYWISE SUMMARY OF INCOME &amp; EXPENDITURE FOR YEAR 2015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</si>
  <si>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Financial Services Commission (FSC) Mauritius</t>
    </r>
  </si>
  <si>
    <t>COMPANYWISE SUMMARY OF INCOME &amp; EXPENDITURE FOR YEAR 2016</t>
  </si>
  <si>
    <t>*Newly licensed companies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</si>
  <si>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</si>
  <si>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t>QUANTUM II*</t>
  </si>
  <si>
    <t>SWAN SPECIALITY RISK*</t>
  </si>
  <si>
    <r>
      <rPr>
        <b/>
        <i/>
        <sz val="8"/>
        <rFont val="Arial"/>
        <family val="2"/>
      </rPr>
      <t xml:space="preserve">Source: </t>
    </r>
    <r>
      <rPr>
        <i/>
        <sz val="8"/>
        <rFont val="Arial"/>
        <family val="2"/>
      </rPr>
      <t>Financial Services Commission (FSC) Mauritius</t>
    </r>
  </si>
  <si>
    <t>Total (Without BAI)</t>
  </si>
  <si>
    <t>COMPANYWISE SUMMARY OF INCOME &amp; EXPENDITURE FOR YEAR 2017</t>
  </si>
  <si>
    <t>COMPANYWISE SUMMARY OF INCOME &amp; EXPENDITURE FOR YEAR 2018</t>
  </si>
  <si>
    <t>NIC</t>
  </si>
  <si>
    <t>COMPANYWISE SUMMARY OF INCOME &amp; EXPENDITURE FOR YEAR 2019</t>
  </si>
  <si>
    <t>COMPANYWISE SUMMARY OF INCOME &amp; EXPENDITURE FOR YEAR 2020</t>
  </si>
  <si>
    <t>COMPANYWISE SUMMARY OF INCOME &amp; EXPENDITURE FOR YEAR 2021</t>
  </si>
  <si>
    <t>COMPANYWISE SUMMARY OF INCOME &amp; EXPENDITURE FOR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</si>
</sst>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0.000%"/>
    <numFmt numFmtId="166" formatCode="0.000"/>
    <numFmt numFmtId="167" formatCode="_(* #,##0_);_(* \(#,##0\);_(* &quot;-&quot;??_);_(@_)"/>
  </numFmts>
  <fonts count="38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Helvetica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17"/>
      <name val="Arial"/>
      <family val="2"/>
    </font>
    <font>
      <sz val="9"/>
      <color indexed="17"/>
      <name val="Helvetica"/>
    </font>
    <font>
      <b/>
      <sz val="10"/>
      <color indexed="17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sz val="8"/>
      <color theme="9" tint="-0.499984740745262"/>
      <name val="Arial"/>
      <family val="2"/>
    </font>
    <font>
      <sz val="8"/>
      <color indexed="17"/>
      <name val="Arial"/>
      <family val="2"/>
    </font>
    <font>
      <sz val="9"/>
      <color indexed="17"/>
      <name val="Arial"/>
      <family val="2"/>
    </font>
    <font>
      <sz val="10"/>
      <color rgb="FF0000CC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9" tint="-0.499984740745262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249977111117893"/>
      <name val="Arial"/>
      <family val="2"/>
    </font>
    <font>
      <sz val="10"/>
      <color theme="9" tint="-0.499984740745262"/>
      <name val="Arial"/>
      <family val="2"/>
    </font>
    <font>
      <sz val="10"/>
      <color theme="1"/>
      <name val="Arial"/>
      <family val="2"/>
    </font>
    <font>
      <sz val="11"/>
      <color theme="1"/>
      <name val="Tahoma"/>
      <family val="2"/>
    </font>
    <font>
      <i/>
      <sz val="10"/>
      <color theme="1"/>
      <name val="Arial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i/>
      <sz val="11"/>
      <color theme="1"/>
      <name val="Tahoma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8D8D8"/>
        <bgColor indexed="64"/>
      </patternFill>
    </fill>
  </fills>
  <borders count="40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/>
    <xf numFmtId="43" fontId="23" fillId="0" borderId="0" applyFont="0" applyFill="0" applyBorder="0" applyAlignment="0" applyProtection="0"/>
  </cellStyleXfs>
  <cellXfs count="180">
    <xf numFmtId="0" fontId="0" fillId="0" borderId="0" xfId="0"/>
    <xf numFmtId="38" fontId="2" fillId="0" borderId="0" xfId="0" applyNumberFormat="1" applyFont="1" applyFill="1"/>
    <xf numFmtId="38" fontId="3" fillId="0" borderId="0" xfId="0" applyNumberFormat="1" applyFont="1" applyFill="1" applyAlignment="1">
      <alignment horizontal="center"/>
    </xf>
    <xf numFmtId="38" fontId="2" fillId="0" borderId="0" xfId="0" applyNumberFormat="1" applyFont="1" applyFill="1" applyAlignment="1">
      <alignment wrapText="1"/>
    </xf>
    <xf numFmtId="38" fontId="2" fillId="0" borderId="1" xfId="0" applyNumberFormat="1" applyFont="1" applyFill="1" applyBorder="1" applyAlignment="1">
      <alignment horizontal="right"/>
    </xf>
    <xf numFmtId="38" fontId="5" fillId="0" borderId="1" xfId="0" applyNumberFormat="1" applyFont="1" applyFill="1" applyBorder="1" applyAlignment="1">
      <alignment horizontal="right"/>
    </xf>
    <xf numFmtId="38" fontId="2" fillId="0" borderId="2" xfId="0" applyNumberFormat="1" applyFont="1" applyFill="1" applyBorder="1" applyAlignment="1">
      <alignment horizontal="right" vertical="center"/>
    </xf>
    <xf numFmtId="38" fontId="5" fillId="0" borderId="2" xfId="0" applyNumberFormat="1" applyFont="1" applyFill="1" applyBorder="1" applyAlignment="1">
      <alignment horizontal="right" vertical="center"/>
    </xf>
    <xf numFmtId="38" fontId="5" fillId="0" borderId="3" xfId="0" applyNumberFormat="1" applyFont="1" applyFill="1" applyBorder="1" applyAlignment="1">
      <alignment horizontal="right" vertical="center"/>
    </xf>
    <xf numFmtId="38" fontId="2" fillId="0" borderId="4" xfId="0" applyNumberFormat="1" applyFont="1" applyFill="1" applyBorder="1" applyAlignment="1">
      <alignment horizontal="right" vertical="center"/>
    </xf>
    <xf numFmtId="38" fontId="5" fillId="0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/>
    <xf numFmtId="38" fontId="2" fillId="0" borderId="5" xfId="0" applyNumberFormat="1" applyFont="1" applyFill="1" applyBorder="1" applyAlignment="1">
      <alignment horizontal="right" vertical="center"/>
    </xf>
    <xf numFmtId="38" fontId="5" fillId="0" borderId="5" xfId="0" applyNumberFormat="1" applyFont="1" applyFill="1" applyBorder="1" applyAlignment="1">
      <alignment horizontal="right" vertical="center"/>
    </xf>
    <xf numFmtId="38" fontId="2" fillId="0" borderId="3" xfId="0" applyNumberFormat="1" applyFont="1" applyFill="1" applyBorder="1"/>
    <xf numFmtId="38" fontId="2" fillId="0" borderId="6" xfId="0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2" fillId="0" borderId="7" xfId="0" applyNumberFormat="1" applyFont="1" applyFill="1" applyBorder="1" applyAlignment="1">
      <alignment horizontal="right" vertical="center"/>
    </xf>
    <xf numFmtId="38" fontId="5" fillId="0" borderId="7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Alignment="1">
      <alignment horizontal="center"/>
    </xf>
    <xf numFmtId="38" fontId="8" fillId="0" borderId="0" xfId="0" applyNumberFormat="1" applyFont="1" applyFill="1" applyAlignment="1">
      <alignment horizontal="center"/>
    </xf>
    <xf numFmtId="38" fontId="5" fillId="0" borderId="0" xfId="0" applyNumberFormat="1" applyFont="1" applyFill="1" applyAlignment="1">
      <alignment horizontal="right"/>
    </xf>
    <xf numFmtId="38" fontId="2" fillId="0" borderId="0" xfId="0" applyNumberFormat="1" applyFont="1" applyFill="1" applyAlignment="1">
      <alignment horizontal="center"/>
    </xf>
    <xf numFmtId="38" fontId="2" fillId="0" borderId="0" xfId="0" applyNumberFormat="1" applyFont="1" applyFill="1" applyAlignment="1">
      <alignment horizontal="right"/>
    </xf>
    <xf numFmtId="38" fontId="9" fillId="0" borderId="0" xfId="0" applyNumberFormat="1" applyFont="1" applyFill="1" applyAlignment="1">
      <alignment horizontal="center"/>
    </xf>
    <xf numFmtId="38" fontId="2" fillId="0" borderId="0" xfId="1" applyNumberFormat="1" applyFont="1" applyFill="1"/>
    <xf numFmtId="38" fontId="3" fillId="0" borderId="0" xfId="1" applyNumberFormat="1" applyFont="1" applyFill="1" applyAlignment="1">
      <alignment horizontal="center"/>
    </xf>
    <xf numFmtId="0" fontId="13" fillId="0" borderId="0" xfId="1" applyFont="1" applyAlignment="1">
      <alignment horizontal="center"/>
    </xf>
    <xf numFmtId="38" fontId="14" fillId="0" borderId="0" xfId="1" applyNumberFormat="1" applyFont="1" applyFill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38" fontId="2" fillId="0" borderId="0" xfId="1" applyNumberFormat="1" applyFont="1" applyFill="1" applyAlignment="1">
      <alignment wrapText="1"/>
    </xf>
    <xf numFmtId="38" fontId="10" fillId="5" borderId="10" xfId="1" applyNumberFormat="1" applyFont="1" applyFill="1" applyBorder="1" applyAlignment="1">
      <alignment vertical="center" wrapText="1"/>
    </xf>
    <xf numFmtId="38" fontId="11" fillId="0" borderId="11" xfId="1" applyNumberFormat="1" applyFont="1" applyFill="1" applyBorder="1"/>
    <xf numFmtId="38" fontId="11" fillId="0" borderId="11" xfId="1" applyNumberFormat="1" applyFont="1" applyFill="1" applyBorder="1" applyAlignment="1">
      <alignment horizontal="right"/>
    </xf>
    <xf numFmtId="41" fontId="11" fillId="0" borderId="11" xfId="1" applyNumberFormat="1" applyFont="1" applyFill="1" applyBorder="1"/>
    <xf numFmtId="38" fontId="10" fillId="0" borderId="12" xfId="1" applyNumberFormat="1" applyFont="1" applyFill="1" applyBorder="1" applyAlignment="1">
      <alignment horizontal="right"/>
    </xf>
    <xf numFmtId="38" fontId="11" fillId="5" borderId="13" xfId="1" applyNumberFormat="1" applyFont="1" applyFill="1" applyBorder="1" applyAlignment="1">
      <alignment horizontal="left" vertical="center" wrapText="1"/>
    </xf>
    <xf numFmtId="38" fontId="11" fillId="0" borderId="2" xfId="1" applyNumberFormat="1" applyFont="1" applyFill="1" applyBorder="1" applyAlignment="1">
      <alignment vertical="center"/>
    </xf>
    <xf numFmtId="41" fontId="11" fillId="0" borderId="2" xfId="1" applyNumberFormat="1" applyFont="1" applyFill="1" applyBorder="1" applyAlignment="1">
      <alignment horizontal="right" vertical="center"/>
    </xf>
    <xf numFmtId="41" fontId="10" fillId="0" borderId="14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/>
    </xf>
    <xf numFmtId="38" fontId="11" fillId="0" borderId="2" xfId="1" applyNumberFormat="1" applyFont="1" applyFill="1" applyBorder="1" applyAlignment="1">
      <alignment horizontal="right" vertical="center"/>
    </xf>
    <xf numFmtId="38" fontId="10" fillId="0" borderId="14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/>
    <xf numFmtId="38" fontId="2" fillId="0" borderId="0" xfId="1" applyNumberFormat="1" applyFont="1" applyFill="1" applyBorder="1"/>
    <xf numFmtId="38" fontId="10" fillId="5" borderId="13" xfId="1" applyNumberFormat="1" applyFont="1" applyFill="1" applyBorder="1" applyAlignment="1">
      <alignment vertical="center" wrapText="1"/>
    </xf>
    <xf numFmtId="38" fontId="10" fillId="5" borderId="15" xfId="1" applyNumberFormat="1" applyFont="1" applyFill="1" applyBorder="1" applyAlignment="1">
      <alignment vertical="center" wrapText="1"/>
    </xf>
    <xf numFmtId="38" fontId="11" fillId="0" borderId="16" xfId="1" applyNumberFormat="1" applyFont="1" applyFill="1" applyBorder="1" applyAlignment="1">
      <alignment vertical="center"/>
    </xf>
    <xf numFmtId="41" fontId="11" fillId="0" borderId="16" xfId="1" applyNumberFormat="1" applyFont="1" applyFill="1" applyBorder="1" applyAlignment="1">
      <alignment horizontal="right" vertical="center"/>
    </xf>
    <xf numFmtId="38" fontId="11" fillId="0" borderId="16" xfId="1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>
      <alignment horizontal="right" vertical="center"/>
    </xf>
    <xf numFmtId="38" fontId="13" fillId="0" borderId="0" xfId="1" applyNumberFormat="1" applyFont="1" applyFill="1" applyAlignment="1">
      <alignment horizontal="center" vertical="center"/>
    </xf>
    <xf numFmtId="41" fontId="2" fillId="0" borderId="0" xfId="1" applyNumberFormat="1" applyFont="1" applyFill="1"/>
    <xf numFmtId="38" fontId="15" fillId="0" borderId="0" xfId="1" applyNumberFormat="1" applyFont="1" applyFill="1" applyAlignment="1">
      <alignment horizontal="right"/>
    </xf>
    <xf numFmtId="38" fontId="7" fillId="0" borderId="0" xfId="1" applyNumberFormat="1" applyFont="1" applyFill="1" applyAlignment="1">
      <alignment horizontal="center"/>
    </xf>
    <xf numFmtId="38" fontId="16" fillId="0" borderId="0" xfId="1" applyNumberFormat="1" applyFont="1" applyFill="1" applyAlignment="1">
      <alignment horizontal="center"/>
    </xf>
    <xf numFmtId="38" fontId="4" fillId="0" borderId="0" xfId="1" applyNumberFormat="1" applyFont="1" applyFill="1" applyAlignment="1">
      <alignment horizontal="right"/>
    </xf>
    <xf numFmtId="38" fontId="2" fillId="0" borderId="0" xfId="1" applyNumberFormat="1" applyFont="1" applyFill="1" applyAlignment="1">
      <alignment horizontal="right"/>
    </xf>
    <xf numFmtId="38" fontId="2" fillId="0" borderId="0" xfId="1" applyNumberFormat="1" applyFont="1" applyFill="1" applyAlignment="1">
      <alignment horizontal="center"/>
    </xf>
    <xf numFmtId="38" fontId="17" fillId="0" borderId="0" xfId="1" applyNumberFormat="1" applyFont="1" applyFill="1" applyAlignment="1">
      <alignment horizontal="right"/>
    </xf>
    <xf numFmtId="38" fontId="4" fillId="5" borderId="1" xfId="0" applyNumberFormat="1" applyFont="1" applyFill="1" applyBorder="1" applyAlignment="1">
      <alignment vertical="center" wrapText="1"/>
    </xf>
    <xf numFmtId="38" fontId="2" fillId="5" borderId="2" xfId="0" applyNumberFormat="1" applyFont="1" applyFill="1" applyBorder="1" applyAlignment="1">
      <alignment horizontal="left" vertical="center" wrapText="1"/>
    </xf>
    <xf numFmtId="38" fontId="6" fillId="5" borderId="4" xfId="0" applyNumberFormat="1" applyFont="1" applyFill="1" applyBorder="1" applyAlignment="1">
      <alignment horizontal="left" vertical="center" wrapText="1"/>
    </xf>
    <xf numFmtId="38" fontId="2" fillId="5" borderId="5" xfId="0" applyNumberFormat="1" applyFont="1" applyFill="1" applyBorder="1" applyAlignment="1">
      <alignment horizontal="left" vertical="center" wrapText="1"/>
    </xf>
    <xf numFmtId="38" fontId="2" fillId="5" borderId="4" xfId="0" applyNumberFormat="1" applyFont="1" applyFill="1" applyBorder="1" applyAlignment="1">
      <alignment horizontal="left" vertical="center" wrapText="1"/>
    </xf>
    <xf numFmtId="38" fontId="4" fillId="5" borderId="6" xfId="0" applyNumberFormat="1" applyFont="1" applyFill="1" applyBorder="1" applyAlignment="1">
      <alignment vertical="center" wrapText="1"/>
    </xf>
    <xf numFmtId="38" fontId="4" fillId="5" borderId="5" xfId="0" applyNumberFormat="1" applyFont="1" applyFill="1" applyBorder="1" applyAlignment="1">
      <alignment vertical="center" wrapText="1"/>
    </xf>
    <xf numFmtId="38" fontId="4" fillId="5" borderId="7" xfId="0" applyNumberFormat="1" applyFont="1" applyFill="1" applyBorder="1" applyAlignment="1">
      <alignment vertical="center" wrapText="1"/>
    </xf>
    <xf numFmtId="38" fontId="17" fillId="0" borderId="0" xfId="0" applyNumberFormat="1" applyFont="1" applyFill="1" applyAlignment="1">
      <alignment horizontal="right"/>
    </xf>
    <xf numFmtId="38" fontId="4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38" fontId="11" fillId="0" borderId="11" xfId="0" applyNumberFormat="1" applyFont="1" applyFill="1" applyBorder="1" applyAlignment="1">
      <alignment horizontal="right"/>
    </xf>
    <xf numFmtId="41" fontId="11" fillId="0" borderId="11" xfId="0" applyNumberFormat="1" applyFont="1" applyFill="1" applyBorder="1"/>
    <xf numFmtId="38" fontId="11" fillId="0" borderId="11" xfId="0" applyNumberFormat="1" applyFont="1" applyFill="1" applyBorder="1"/>
    <xf numFmtId="38" fontId="10" fillId="0" borderId="12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 vertical="center"/>
    </xf>
    <xf numFmtId="41" fontId="10" fillId="0" borderId="14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38" fontId="11" fillId="0" borderId="2" xfId="0" applyNumberFormat="1" applyFont="1" applyFill="1" applyBorder="1" applyAlignment="1">
      <alignment vertical="center"/>
    </xf>
    <xf numFmtId="38" fontId="11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right" vertical="center"/>
    </xf>
    <xf numFmtId="38" fontId="22" fillId="0" borderId="0" xfId="0" applyNumberFormat="1" applyFont="1" applyFill="1" applyAlignment="1">
      <alignment horizontal="center"/>
    </xf>
    <xf numFmtId="38" fontId="10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/>
    </xf>
    <xf numFmtId="38" fontId="11" fillId="6" borderId="18" xfId="0" applyNumberFormat="1" applyFont="1" applyFill="1" applyBorder="1" applyAlignment="1">
      <alignment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38" fontId="10" fillId="8" borderId="10" xfId="0" applyNumberFormat="1" applyFont="1" applyFill="1" applyBorder="1" applyAlignment="1">
      <alignment vertical="center" wrapText="1"/>
    </xf>
    <xf numFmtId="38" fontId="11" fillId="8" borderId="13" xfId="0" applyNumberFormat="1" applyFont="1" applyFill="1" applyBorder="1" applyAlignment="1">
      <alignment horizontal="left" vertical="center" wrapText="1"/>
    </xf>
    <xf numFmtId="38" fontId="11" fillId="8" borderId="22" xfId="0" applyNumberFormat="1" applyFont="1" applyFill="1" applyBorder="1" applyAlignment="1">
      <alignment horizontal="left" vertical="center" wrapText="1"/>
    </xf>
    <xf numFmtId="38" fontId="11" fillId="0" borderId="4" xfId="0" applyNumberFormat="1" applyFont="1" applyFill="1" applyBorder="1" applyAlignment="1">
      <alignment vertical="center"/>
    </xf>
    <xf numFmtId="38" fontId="11" fillId="0" borderId="4" xfId="0" applyNumberFormat="1" applyFont="1" applyFill="1" applyBorder="1" applyAlignment="1">
      <alignment horizontal="right" vertical="center"/>
    </xf>
    <xf numFmtId="38" fontId="10" fillId="0" borderId="23" xfId="0" applyNumberFormat="1" applyFont="1" applyFill="1" applyBorder="1" applyAlignment="1">
      <alignment horizontal="right" vertical="center"/>
    </xf>
    <xf numFmtId="38" fontId="10" fillId="8" borderId="24" xfId="0" applyNumberFormat="1" applyFont="1" applyFill="1" applyBorder="1" applyAlignment="1">
      <alignment vertical="center" wrapText="1"/>
    </xf>
    <xf numFmtId="38" fontId="11" fillId="0" borderId="1" xfId="0" applyNumberFormat="1" applyFont="1" applyFill="1" applyBorder="1" applyAlignment="1">
      <alignment vertical="center"/>
    </xf>
    <xf numFmtId="41" fontId="11" fillId="0" borderId="1" xfId="0" applyNumberFormat="1" applyFont="1" applyFill="1" applyBorder="1" applyAlignment="1">
      <alignment horizontal="right" vertical="center"/>
    </xf>
    <xf numFmtId="41" fontId="10" fillId="0" borderId="25" xfId="0" applyNumberFormat="1" applyFont="1" applyFill="1" applyBorder="1" applyAlignment="1">
      <alignment horizontal="right" vertical="center"/>
    </xf>
    <xf numFmtId="38" fontId="11" fillId="8" borderId="26" xfId="0" applyNumberFormat="1" applyFont="1" applyFill="1" applyBorder="1" applyAlignment="1">
      <alignment horizontal="left" vertical="center" wrapText="1"/>
    </xf>
    <xf numFmtId="41" fontId="11" fillId="0" borderId="27" xfId="0" applyNumberFormat="1" applyFont="1" applyFill="1" applyBorder="1" applyAlignment="1">
      <alignment horizontal="right" vertical="center"/>
    </xf>
    <xf numFmtId="41" fontId="10" fillId="0" borderId="28" xfId="0" applyNumberFormat="1" applyFont="1" applyFill="1" applyBorder="1" applyAlignment="1">
      <alignment horizontal="right" vertical="center"/>
    </xf>
    <xf numFmtId="41" fontId="11" fillId="0" borderId="4" xfId="0" applyNumberFormat="1" applyFont="1" applyFill="1" applyBorder="1" applyAlignment="1">
      <alignment horizontal="right" vertical="center"/>
    </xf>
    <xf numFmtId="41" fontId="10" fillId="0" borderId="23" xfId="0" applyNumberFormat="1" applyFont="1" applyFill="1" applyBorder="1" applyAlignment="1">
      <alignment horizontal="right" vertical="center"/>
    </xf>
    <xf numFmtId="38" fontId="11" fillId="0" borderId="27" xfId="0" applyNumberFormat="1" applyFont="1" applyFill="1" applyBorder="1" applyAlignment="1">
      <alignment horizontal="right" vertical="center"/>
    </xf>
    <xf numFmtId="38" fontId="10" fillId="0" borderId="28" xfId="0" applyNumberFormat="1" applyFont="1" applyFill="1" applyBorder="1" applyAlignment="1">
      <alignment horizontal="right" vertical="center"/>
    </xf>
    <xf numFmtId="38" fontId="10" fillId="8" borderId="26" xfId="0" applyNumberFormat="1" applyFont="1" applyFill="1" applyBorder="1" applyAlignment="1">
      <alignment vertical="center" wrapText="1"/>
    </xf>
    <xf numFmtId="38" fontId="11" fillId="0" borderId="27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38" fontId="29" fillId="0" borderId="11" xfId="0" applyNumberFormat="1" applyFont="1" applyFill="1" applyBorder="1" applyAlignment="1">
      <alignment vertical="center"/>
    </xf>
    <xf numFmtId="167" fontId="30" fillId="0" borderId="29" xfId="2" applyNumberFormat="1" applyFont="1" applyBorder="1" applyAlignment="1">
      <alignment vertical="center"/>
    </xf>
    <xf numFmtId="38" fontId="2" fillId="0" borderId="30" xfId="0" applyNumberFormat="1" applyFont="1" applyFill="1" applyBorder="1" applyAlignment="1">
      <alignment vertical="center"/>
    </xf>
    <xf numFmtId="38" fontId="11" fillId="0" borderId="2" xfId="0" applyNumberFormat="1" applyFont="1" applyFill="1" applyBorder="1" applyAlignment="1">
      <alignment horizontal="right" vertical="center"/>
    </xf>
    <xf numFmtId="38" fontId="10" fillId="0" borderId="14" xfId="0" applyNumberFormat="1" applyFont="1" applyFill="1" applyBorder="1" applyAlignment="1">
      <alignment horizontal="right" vertical="center"/>
    </xf>
    <xf numFmtId="41" fontId="11" fillId="0" borderId="16" xfId="0" applyNumberFormat="1" applyFont="1" applyFill="1" applyBorder="1" applyAlignment="1">
      <alignment horizontal="right" vertical="center"/>
    </xf>
    <xf numFmtId="38" fontId="11" fillId="0" borderId="16" xfId="0" applyNumberFormat="1" applyFont="1" applyFill="1" applyBorder="1" applyAlignment="1">
      <alignment horizontal="right" vertical="center"/>
    </xf>
    <xf numFmtId="41" fontId="10" fillId="0" borderId="17" xfId="0" applyNumberFormat="1" applyFont="1" applyFill="1" applyBorder="1" applyAlignment="1">
      <alignment horizontal="right" vertical="center"/>
    </xf>
    <xf numFmtId="38" fontId="29" fillId="0" borderId="0" xfId="0" applyNumberFormat="1" applyFont="1" applyFill="1" applyAlignment="1">
      <alignment horizontal="center" vertical="center"/>
    </xf>
    <xf numFmtId="38" fontId="13" fillId="0" borderId="0" xfId="0" applyNumberFormat="1" applyFont="1" applyFill="1" applyAlignment="1">
      <alignment horizontal="center" vertical="center"/>
    </xf>
    <xf numFmtId="38" fontId="4" fillId="0" borderId="0" xfId="0" applyNumberFormat="1" applyFont="1" applyFill="1" applyAlignment="1">
      <alignment horizontal="right" vertical="center"/>
    </xf>
    <xf numFmtId="0" fontId="26" fillId="6" borderId="1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0" fontId="28" fillId="6" borderId="20" xfId="0" applyFont="1" applyFill="1" applyBorder="1" applyAlignment="1">
      <alignment horizontal="center" vertical="center" wrapText="1"/>
    </xf>
    <xf numFmtId="167" fontId="26" fillId="6" borderId="19" xfId="0" applyNumberFormat="1" applyFont="1" applyFill="1" applyBorder="1" applyAlignment="1">
      <alignment horizontal="center" vertical="center" wrapText="1"/>
    </xf>
    <xf numFmtId="167" fontId="27" fillId="6" borderId="19" xfId="0" applyNumberFormat="1" applyFont="1" applyFill="1" applyBorder="1" applyAlignment="1">
      <alignment horizontal="center" vertical="center" wrapText="1"/>
    </xf>
    <xf numFmtId="167" fontId="10" fillId="6" borderId="19" xfId="0" applyNumberFormat="1" applyFont="1" applyFill="1" applyBorder="1" applyAlignment="1">
      <alignment horizontal="center" vertical="center" wrapText="1"/>
    </xf>
    <xf numFmtId="167" fontId="28" fillId="6" borderId="20" xfId="0" applyNumberFormat="1" applyFont="1" applyFill="1" applyBorder="1" applyAlignment="1">
      <alignment horizontal="center" vertical="center" wrapText="1"/>
    </xf>
    <xf numFmtId="167" fontId="10" fillId="6" borderId="21" xfId="0" applyNumberFormat="1" applyFont="1" applyFill="1" applyBorder="1" applyAlignment="1">
      <alignment horizontal="center" vertical="center" wrapText="1"/>
    </xf>
    <xf numFmtId="167" fontId="29" fillId="0" borderId="11" xfId="0" applyNumberFormat="1" applyFont="1" applyFill="1" applyBorder="1" applyAlignment="1">
      <alignment vertical="center"/>
    </xf>
    <xf numFmtId="167" fontId="11" fillId="0" borderId="11" xfId="0" applyNumberFormat="1" applyFont="1" applyFill="1" applyBorder="1" applyAlignment="1">
      <alignment horizontal="right"/>
    </xf>
    <xf numFmtId="167" fontId="11" fillId="0" borderId="11" xfId="0" applyNumberFormat="1" applyFont="1" applyFill="1" applyBorder="1"/>
    <xf numFmtId="167" fontId="11" fillId="0" borderId="2" xfId="0" applyNumberFormat="1" applyFont="1" applyFill="1" applyBorder="1" applyAlignment="1">
      <alignment horizontal="right" vertical="center"/>
    </xf>
    <xf numFmtId="167" fontId="2" fillId="0" borderId="30" xfId="0" applyNumberFormat="1" applyFont="1" applyFill="1" applyBorder="1" applyAlignment="1">
      <alignment vertical="center"/>
    </xf>
    <xf numFmtId="167" fontId="11" fillId="0" borderId="16" xfId="0" applyNumberFormat="1" applyFont="1" applyFill="1" applyBorder="1" applyAlignment="1">
      <alignment horizontal="right" vertical="center"/>
    </xf>
    <xf numFmtId="167" fontId="11" fillId="0" borderId="29" xfId="2" applyNumberFormat="1" applyFont="1" applyBorder="1" applyAlignment="1">
      <alignment vertical="center"/>
    </xf>
    <xf numFmtId="167" fontId="11" fillId="0" borderId="2" xfId="0" applyNumberFormat="1" applyFont="1" applyFill="1" applyBorder="1" applyAlignment="1">
      <alignment vertical="center"/>
    </xf>
    <xf numFmtId="167" fontId="11" fillId="0" borderId="29" xfId="2" applyNumberFormat="1" applyFont="1" applyFill="1" applyBorder="1" applyAlignment="1">
      <alignment vertical="center"/>
    </xf>
    <xf numFmtId="167" fontId="31" fillId="0" borderId="0" xfId="2" applyNumberFormat="1" applyFont="1" applyBorder="1" applyAlignment="1">
      <alignment vertical="center"/>
    </xf>
    <xf numFmtId="0" fontId="0" fillId="0" borderId="31" xfId="0" applyBorder="1"/>
    <xf numFmtId="167" fontId="31" fillId="0" borderId="31" xfId="2" applyNumberFormat="1" applyFont="1" applyBorder="1" applyAlignment="1">
      <alignment vertical="center"/>
    </xf>
    <xf numFmtId="38" fontId="11" fillId="6" borderId="31" xfId="0" applyNumberFormat="1" applyFont="1" applyFill="1" applyBorder="1" applyAlignment="1">
      <alignment vertical="center" wrapText="1"/>
    </xf>
    <xf numFmtId="167" fontId="10" fillId="6" borderId="31" xfId="0" applyNumberFormat="1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38" fontId="10" fillId="8" borderId="31" xfId="0" applyNumberFormat="1" applyFont="1" applyFill="1" applyBorder="1" applyAlignment="1">
      <alignment vertical="center" wrapText="1"/>
    </xf>
    <xf numFmtId="167" fontId="30" fillId="0" borderId="31" xfId="2" applyNumberFormat="1" applyFont="1" applyBorder="1" applyAlignment="1">
      <alignment vertical="center"/>
    </xf>
    <xf numFmtId="38" fontId="11" fillId="8" borderId="31" xfId="0" applyNumberFormat="1" applyFont="1" applyFill="1" applyBorder="1" applyAlignment="1">
      <alignment horizontal="left" vertical="center" wrapText="1"/>
    </xf>
    <xf numFmtId="167" fontId="32" fillId="0" borderId="0" xfId="2" applyNumberFormat="1" applyFont="1" applyAlignment="1">
      <alignment vertical="center"/>
    </xf>
    <xf numFmtId="0" fontId="1" fillId="0" borderId="0" xfId="1" applyFont="1" applyFill="1" applyBorder="1" applyAlignment="1"/>
    <xf numFmtId="167" fontId="22" fillId="6" borderId="31" xfId="0" applyNumberFormat="1" applyFont="1" applyFill="1" applyBorder="1" applyAlignment="1">
      <alignment horizontal="center" vertical="center" wrapText="1"/>
    </xf>
    <xf numFmtId="38" fontId="10" fillId="8" borderId="31" xfId="0" applyNumberFormat="1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38" fontId="4" fillId="0" borderId="1" xfId="0" applyNumberFormat="1" applyFont="1" applyFill="1" applyBorder="1" applyAlignment="1">
      <alignment horizontal="right"/>
    </xf>
    <xf numFmtId="38" fontId="2" fillId="5" borderId="34" xfId="0" applyNumberFormat="1" applyFont="1" applyFill="1" applyBorder="1" applyAlignment="1">
      <alignment horizontal="left" vertical="center" wrapText="1"/>
    </xf>
    <xf numFmtId="38" fontId="2" fillId="0" borderId="34" xfId="0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38" fontId="2" fillId="5" borderId="35" xfId="0" applyNumberFormat="1" applyFont="1" applyFill="1" applyBorder="1" applyAlignment="1">
      <alignment horizontal="left" vertical="center" wrapText="1"/>
    </xf>
    <xf numFmtId="38" fontId="2" fillId="0" borderId="35" xfId="0" applyNumberFormat="1" applyFont="1" applyFill="1" applyBorder="1" applyAlignment="1">
      <alignment horizontal="right" vertical="center"/>
    </xf>
    <xf numFmtId="38" fontId="4" fillId="0" borderId="35" xfId="0" applyNumberFormat="1" applyFont="1" applyFill="1" applyBorder="1" applyAlignment="1">
      <alignment horizontal="right" vertical="center"/>
    </xf>
    <xf numFmtId="38" fontId="4" fillId="0" borderId="5" xfId="0" applyNumberFormat="1" applyFont="1" applyFill="1" applyBorder="1" applyAlignment="1">
      <alignment horizontal="right" vertical="center"/>
    </xf>
    <xf numFmtId="38" fontId="4" fillId="0" borderId="6" xfId="0" applyNumberFormat="1" applyFont="1" applyFill="1" applyBorder="1" applyAlignment="1">
      <alignment horizontal="right" vertical="center"/>
    </xf>
    <xf numFmtId="38" fontId="4" fillId="0" borderId="7" xfId="0" applyNumberFormat="1" applyFont="1" applyFill="1" applyBorder="1" applyAlignment="1">
      <alignment horizontal="right" vertical="center"/>
    </xf>
    <xf numFmtId="0" fontId="33" fillId="0" borderId="0" xfId="1" applyFont="1" applyFill="1" applyBorder="1" applyAlignment="1"/>
    <xf numFmtId="167" fontId="35" fillId="0" borderId="0" xfId="2" applyNumberFormat="1" applyFont="1" applyBorder="1" applyAlignment="1">
      <alignment vertical="center"/>
    </xf>
    <xf numFmtId="0" fontId="36" fillId="0" borderId="0" xfId="1" applyFont="1" applyFill="1" applyBorder="1" applyAlignment="1"/>
    <xf numFmtId="167" fontId="30" fillId="0" borderId="36" xfId="2" applyNumberFormat="1" applyFont="1" applyFill="1" applyBorder="1" applyAlignment="1">
      <alignment vertical="center"/>
    </xf>
    <xf numFmtId="167" fontId="30" fillId="0" borderId="37" xfId="2" applyNumberFormat="1" applyFont="1" applyFill="1" applyBorder="1" applyAlignment="1">
      <alignment vertical="center"/>
    </xf>
    <xf numFmtId="0" fontId="12" fillId="2" borderId="31" xfId="1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right" vertical="center"/>
    </xf>
    <xf numFmtId="0" fontId="15" fillId="0" borderId="33" xfId="0" applyFont="1" applyFill="1" applyBorder="1" applyAlignment="1">
      <alignment horizontal="right" vertical="center"/>
    </xf>
    <xf numFmtId="0" fontId="12" fillId="2" borderId="0" xfId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BFBFBF"/>
      <color rgb="FF99CC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I32" sqref="I32"/>
    </sheetView>
  </sheetViews>
  <sheetFormatPr defaultRowHeight="12.75" x14ac:dyDescent="0.2"/>
  <cols>
    <col min="1" max="1" width="54.28515625" bestFit="1" customWidth="1"/>
    <col min="2" max="3" width="11.42578125" customWidth="1"/>
    <col min="4" max="4" width="12.28515625" customWidth="1"/>
    <col min="5" max="5" width="9.140625" customWidth="1"/>
    <col min="6" max="7" width="10.28515625" customWidth="1"/>
    <col min="8" max="9" width="12.140625" customWidth="1"/>
    <col min="10" max="11" width="10.28515625" customWidth="1"/>
    <col min="12" max="12" width="10.85546875" customWidth="1"/>
    <col min="13" max="14" width="10.28515625" customWidth="1"/>
    <col min="15" max="15" width="12.140625" bestFit="1" customWidth="1"/>
    <col min="16" max="16" width="14.28515625" customWidth="1"/>
    <col min="17" max="17" width="15.5703125" bestFit="1" customWidth="1"/>
  </cols>
  <sheetData>
    <row r="1" spans="1:17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5.75" x14ac:dyDescent="0.25">
      <c r="A3" s="174" t="s">
        <v>99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4.25" customHeight="1" x14ac:dyDescent="0.2">
      <c r="A4" s="175" t="s">
        <v>37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s="3" customFormat="1" ht="37.5" customHeight="1" x14ac:dyDescent="0.2">
      <c r="A5" s="147"/>
      <c r="B5" s="148" t="s">
        <v>95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89</v>
      </c>
      <c r="M5" s="148" t="s">
        <v>10</v>
      </c>
      <c r="N5" s="148" t="s">
        <v>11</v>
      </c>
      <c r="O5" s="148" t="s">
        <v>12</v>
      </c>
      <c r="P5" s="155" t="s">
        <v>90</v>
      </c>
      <c r="Q5" s="149" t="s">
        <v>13</v>
      </c>
    </row>
    <row r="6" spans="1:17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7" ht="20.100000000000001" customHeight="1" x14ac:dyDescent="0.2">
      <c r="A7" s="152" t="s">
        <v>57</v>
      </c>
      <c r="B7" s="151">
        <v>360393.92200000002</v>
      </c>
      <c r="C7" s="151">
        <v>76422.180999999997</v>
      </c>
      <c r="D7" s="151">
        <v>226397.899</v>
      </c>
      <c r="E7" s="151">
        <v>85282.504000000001</v>
      </c>
      <c r="F7" s="151">
        <v>611418.6874715545</v>
      </c>
      <c r="G7" s="151">
        <v>282160.07400000002</v>
      </c>
      <c r="H7" s="151">
        <v>1615562.911907</v>
      </c>
      <c r="I7" s="151">
        <v>3174476.588</v>
      </c>
      <c r="J7" s="151">
        <v>478864.19968000002</v>
      </c>
      <c r="K7" s="151">
        <v>768417.66700000002</v>
      </c>
      <c r="L7" s="151">
        <v>221051.00599999999</v>
      </c>
      <c r="M7" s="151">
        <v>1546424.1669999999</v>
      </c>
      <c r="N7" s="151">
        <v>602400.29299999995</v>
      </c>
      <c r="O7" s="151">
        <v>3848229.43</v>
      </c>
      <c r="P7" s="151">
        <v>280823.24900000001</v>
      </c>
      <c r="Q7" s="151">
        <f>SUM(B7:P7)</f>
        <v>14178324.779058553</v>
      </c>
    </row>
    <row r="8" spans="1:17" ht="20.100000000000001" customHeight="1" x14ac:dyDescent="0.2">
      <c r="A8" s="152" t="s">
        <v>16</v>
      </c>
      <c r="B8" s="151">
        <v>163852.36799999999</v>
      </c>
      <c r="C8" s="151">
        <v>52556.608</v>
      </c>
      <c r="D8" s="151">
        <v>17358.514999999999</v>
      </c>
      <c r="E8" s="151">
        <v>13726.333000000001</v>
      </c>
      <c r="F8" s="151">
        <v>265395.9642770621</v>
      </c>
      <c r="G8" s="151">
        <v>19825.674999999999</v>
      </c>
      <c r="H8" s="151">
        <v>1120324.9673289447</v>
      </c>
      <c r="I8" s="151">
        <v>800111.15599999996</v>
      </c>
      <c r="J8" s="151">
        <v>72666.458038800003</v>
      </c>
      <c r="K8" s="151">
        <v>237521.4</v>
      </c>
      <c r="L8" s="151">
        <v>124573.378</v>
      </c>
      <c r="M8" s="151">
        <v>743644.81200000003</v>
      </c>
      <c r="N8" s="151">
        <v>513024.91399999999</v>
      </c>
      <c r="O8" s="151">
        <v>866821.88222000003</v>
      </c>
      <c r="P8" s="151">
        <v>280823.24900000001</v>
      </c>
      <c r="Q8" s="151">
        <f t="shared" ref="Q8:Q26" si="0">SUM(B8:P8)</f>
        <v>5292227.6798648071</v>
      </c>
    </row>
    <row r="9" spans="1:17" ht="20.100000000000001" customHeight="1" x14ac:dyDescent="0.2">
      <c r="A9" s="152" t="s">
        <v>58</v>
      </c>
      <c r="B9" s="151">
        <v>196541.554</v>
      </c>
      <c r="C9" s="151">
        <v>23865.573</v>
      </c>
      <c r="D9" s="151">
        <v>209039.38399999999</v>
      </c>
      <c r="E9" s="151">
        <v>71556.171000000002</v>
      </c>
      <c r="F9" s="151">
        <v>346022.72319449246</v>
      </c>
      <c r="G9" s="151">
        <v>262334.39899999998</v>
      </c>
      <c r="H9" s="151">
        <v>495237.9445780557</v>
      </c>
      <c r="I9" s="151">
        <v>2374365.432</v>
      </c>
      <c r="J9" s="151">
        <v>406197.74164120003</v>
      </c>
      <c r="K9" s="151">
        <v>530896.26699999999</v>
      </c>
      <c r="L9" s="151">
        <v>96477.627999999997</v>
      </c>
      <c r="M9" s="151">
        <v>802779.35499999998</v>
      </c>
      <c r="N9" s="151">
        <v>89375.379000000059</v>
      </c>
      <c r="O9" s="151">
        <v>2981407.5477799997</v>
      </c>
      <c r="P9" s="151">
        <v>0</v>
      </c>
      <c r="Q9" s="151">
        <f t="shared" si="0"/>
        <v>8886097.0991937481</v>
      </c>
    </row>
    <row r="10" spans="1:17" ht="20.100000000000001" customHeight="1" x14ac:dyDescent="0.2">
      <c r="A10" s="152" t="s">
        <v>59</v>
      </c>
      <c r="B10" s="151">
        <v>2752.3029999999999</v>
      </c>
      <c r="C10" s="151">
        <v>-3598.7860000000001</v>
      </c>
      <c r="D10" s="151">
        <v>-7749.2039999999997</v>
      </c>
      <c r="E10" s="151">
        <v>0</v>
      </c>
      <c r="F10" s="151">
        <v>0</v>
      </c>
      <c r="G10" s="151">
        <v>0</v>
      </c>
      <c r="H10" s="151">
        <v>23853.227391138847</v>
      </c>
      <c r="I10" s="151">
        <v>-224002.408</v>
      </c>
      <c r="J10" s="151">
        <v>2642.4895245000107</v>
      </c>
      <c r="K10" s="151">
        <v>0</v>
      </c>
      <c r="L10" s="151">
        <v>-31314.295999999998</v>
      </c>
      <c r="M10" s="151">
        <v>0</v>
      </c>
      <c r="N10" s="151">
        <v>-4058.2572907939098</v>
      </c>
      <c r="O10" s="151">
        <v>0</v>
      </c>
      <c r="P10" s="151">
        <v>0</v>
      </c>
      <c r="Q10" s="151">
        <f t="shared" si="0"/>
        <v>-241474.93137515505</v>
      </c>
    </row>
    <row r="11" spans="1:17" ht="20.100000000000001" customHeight="1" x14ac:dyDescent="0.2">
      <c r="A11" s="152" t="s">
        <v>60</v>
      </c>
      <c r="B11" s="151">
        <v>193789.25099999999</v>
      </c>
      <c r="C11" s="151">
        <v>20266.787</v>
      </c>
      <c r="D11" s="151">
        <v>201290.18030000001</v>
      </c>
      <c r="E11" s="151">
        <v>64704.896000000001</v>
      </c>
      <c r="F11" s="151">
        <v>327267.81919449259</v>
      </c>
      <c r="G11" s="151">
        <v>263640.62199999997</v>
      </c>
      <c r="H11" s="151">
        <v>519091.17196919431</v>
      </c>
      <c r="I11" s="151">
        <v>2150363.0240000002</v>
      </c>
      <c r="J11" s="151">
        <v>403555.25211669999</v>
      </c>
      <c r="K11" s="151">
        <v>511245.34600000002</v>
      </c>
      <c r="L11" s="151">
        <v>65163.332000000002</v>
      </c>
      <c r="M11" s="151">
        <v>725152.67200000002</v>
      </c>
      <c r="N11" s="151">
        <v>85317.121709206127</v>
      </c>
      <c r="O11" s="151">
        <v>2812512.3275857484</v>
      </c>
      <c r="P11" s="151">
        <v>0</v>
      </c>
      <c r="Q11" s="151">
        <f t="shared" si="0"/>
        <v>8343359.8028753428</v>
      </c>
    </row>
    <row r="12" spans="1:17" ht="20.100000000000001" customHeight="1" x14ac:dyDescent="0.2">
      <c r="A12" s="156" t="s">
        <v>67</v>
      </c>
      <c r="B12" s="151">
        <v>0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f t="shared" si="0"/>
        <v>0</v>
      </c>
    </row>
    <row r="13" spans="1:17" ht="20.100000000000001" customHeight="1" x14ac:dyDescent="0.2">
      <c r="A13" s="152" t="s">
        <v>57</v>
      </c>
      <c r="B13" s="151">
        <v>328030.49900000001</v>
      </c>
      <c r="C13" s="151">
        <v>13693.063</v>
      </c>
      <c r="D13" s="151">
        <v>169551.64</v>
      </c>
      <c r="E13" s="151">
        <v>52217.872000000003</v>
      </c>
      <c r="F13" s="151">
        <v>199798.21247999999</v>
      </c>
      <c r="G13" s="151">
        <v>225709.58</v>
      </c>
      <c r="H13" s="151">
        <v>679703.38190000027</v>
      </c>
      <c r="I13" s="151">
        <v>1752002.273</v>
      </c>
      <c r="J13" s="151">
        <v>208360.76831000001</v>
      </c>
      <c r="K13" s="151">
        <v>390636.41499999998</v>
      </c>
      <c r="L13" s="151">
        <v>274027.37800000003</v>
      </c>
      <c r="M13" s="151">
        <v>755959.87699999998</v>
      </c>
      <c r="N13" s="151">
        <v>249162.1348</v>
      </c>
      <c r="O13" s="151">
        <v>2440372.4360400001</v>
      </c>
      <c r="P13" s="151">
        <v>119367.02499999999</v>
      </c>
      <c r="Q13" s="151">
        <f t="shared" si="0"/>
        <v>7858592.5555300014</v>
      </c>
    </row>
    <row r="14" spans="1:17" ht="20.100000000000001" customHeight="1" x14ac:dyDescent="0.2">
      <c r="A14" s="152" t="s">
        <v>16</v>
      </c>
      <c r="B14" s="151">
        <v>210154.72099999999</v>
      </c>
      <c r="C14" s="151">
        <v>9585.143</v>
      </c>
      <c r="D14" s="151">
        <v>39512.292999999998</v>
      </c>
      <c r="E14" s="151">
        <v>12182.29</v>
      </c>
      <c r="F14" s="151">
        <v>38638.491124250002</v>
      </c>
      <c r="G14" s="151">
        <v>69610.804999999993</v>
      </c>
      <c r="H14" s="151">
        <v>429540.69250696502</v>
      </c>
      <c r="I14" s="151">
        <v>288496.55200000003</v>
      </c>
      <c r="J14" s="151">
        <v>132.02542</v>
      </c>
      <c r="K14" s="151">
        <v>139859.62</v>
      </c>
      <c r="L14" s="151">
        <v>235635.00700000001</v>
      </c>
      <c r="M14" s="151">
        <v>336382.05</v>
      </c>
      <c r="N14" s="151">
        <v>193483.34040000002</v>
      </c>
      <c r="O14" s="151">
        <v>379515.815</v>
      </c>
      <c r="P14" s="151">
        <v>119367.02499999999</v>
      </c>
      <c r="Q14" s="151">
        <f t="shared" si="0"/>
        <v>2502095.8704512152</v>
      </c>
    </row>
    <row r="15" spans="1:17" ht="20.100000000000001" customHeight="1" x14ac:dyDescent="0.2">
      <c r="A15" s="152" t="s">
        <v>58</v>
      </c>
      <c r="B15" s="151">
        <v>117875.77800000001</v>
      </c>
      <c r="C15" s="151">
        <v>4107.92</v>
      </c>
      <c r="D15" s="151">
        <v>130039.34699999999</v>
      </c>
      <c r="E15" s="151">
        <v>40035.582000000002</v>
      </c>
      <c r="F15" s="151">
        <v>161159.72135575002</v>
      </c>
      <c r="G15" s="151">
        <v>156098.77499999999</v>
      </c>
      <c r="H15" s="151">
        <v>250162.68939303487</v>
      </c>
      <c r="I15" s="151">
        <v>1463505.7209999999</v>
      </c>
      <c r="J15" s="151">
        <v>208228.74289000002</v>
      </c>
      <c r="K15" s="151">
        <v>250776.79500000001</v>
      </c>
      <c r="L15" s="151">
        <v>38392.370999999999</v>
      </c>
      <c r="M15" s="151">
        <v>419577.82699999999</v>
      </c>
      <c r="N15" s="151">
        <v>55678.794399999999</v>
      </c>
      <c r="O15" s="151">
        <v>2060856.6210400003</v>
      </c>
      <c r="P15" s="151">
        <v>0</v>
      </c>
      <c r="Q15" s="151">
        <f t="shared" si="0"/>
        <v>5356496.6850787848</v>
      </c>
    </row>
    <row r="16" spans="1:17" ht="20.100000000000001" customHeight="1" x14ac:dyDescent="0.2">
      <c r="A16" s="152" t="s">
        <v>61</v>
      </c>
      <c r="B16" s="151">
        <v>-16864.057000000001</v>
      </c>
      <c r="C16" s="151">
        <v>0</v>
      </c>
      <c r="D16" s="151">
        <v>3251.4659999999999</v>
      </c>
      <c r="E16" s="151">
        <v>0</v>
      </c>
      <c r="F16" s="151">
        <v>0</v>
      </c>
      <c r="G16" s="151">
        <v>0</v>
      </c>
      <c r="H16" s="151">
        <v>51437.301439579431</v>
      </c>
      <c r="I16" s="151">
        <v>-78944.661999999997</v>
      </c>
      <c r="J16" s="151">
        <v>62702.757841700033</v>
      </c>
      <c r="K16" s="151">
        <v>0</v>
      </c>
      <c r="L16" s="151">
        <v>-2050.0410000000002</v>
      </c>
      <c r="M16" s="151">
        <v>0</v>
      </c>
      <c r="N16" s="151">
        <v>3152.6460000000002</v>
      </c>
      <c r="O16" s="151">
        <v>-41278.468124598039</v>
      </c>
      <c r="P16" s="151">
        <v>0</v>
      </c>
      <c r="Q16" s="151">
        <f t="shared" si="0"/>
        <v>-18593.056843318573</v>
      </c>
    </row>
    <row r="17" spans="1:17" ht="20.100000000000001" customHeight="1" x14ac:dyDescent="0.2">
      <c r="A17" s="152" t="s">
        <v>62</v>
      </c>
      <c r="B17" s="151">
        <v>101011.72100000001</v>
      </c>
      <c r="C17" s="151">
        <v>-432.66300000000001</v>
      </c>
      <c r="D17" s="151">
        <v>126787.88099999999</v>
      </c>
      <c r="E17" s="151">
        <v>39017.919999999998</v>
      </c>
      <c r="F17" s="151">
        <v>189879.04712209347</v>
      </c>
      <c r="G17" s="151">
        <v>203766.28400000001</v>
      </c>
      <c r="H17" s="151">
        <v>301599.99083261436</v>
      </c>
      <c r="I17" s="151">
        <v>1384561.0589999999</v>
      </c>
      <c r="J17" s="151">
        <v>270931.50073170004</v>
      </c>
      <c r="K17" s="151">
        <v>344293.70299999998</v>
      </c>
      <c r="L17" s="151">
        <v>40442.411999999997</v>
      </c>
      <c r="M17" s="151">
        <v>456686.87199999997</v>
      </c>
      <c r="N17" s="151">
        <v>58831.440399999999</v>
      </c>
      <c r="O17" s="151">
        <v>1966304.7546154016</v>
      </c>
      <c r="P17" s="151">
        <v>0</v>
      </c>
      <c r="Q17" s="151">
        <f t="shared" si="0"/>
        <v>5483681.9227018096</v>
      </c>
    </row>
    <row r="18" spans="1:17" ht="20.100000000000001" customHeight="1" x14ac:dyDescent="0.2">
      <c r="A18" s="156" t="s">
        <v>68</v>
      </c>
      <c r="B18" s="151">
        <v>0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f t="shared" si="0"/>
        <v>0</v>
      </c>
    </row>
    <row r="19" spans="1:17" ht="20.100000000000001" customHeight="1" x14ac:dyDescent="0.2">
      <c r="A19" s="152" t="s">
        <v>63</v>
      </c>
      <c r="B19" s="151">
        <v>5832.8019999999997</v>
      </c>
      <c r="C19" s="151">
        <v>19425.754000000001</v>
      </c>
      <c r="D19" s="151">
        <v>2815.51</v>
      </c>
      <c r="E19" s="151">
        <v>3357.357</v>
      </c>
      <c r="F19" s="151">
        <v>40688.930896703452</v>
      </c>
      <c r="G19" s="151">
        <v>5932.09717</v>
      </c>
      <c r="H19" s="151">
        <v>165184.76153017097</v>
      </c>
      <c r="I19" s="151">
        <v>167856.845</v>
      </c>
      <c r="J19" s="151">
        <v>4680.0357100000001</v>
      </c>
      <c r="K19" s="151">
        <v>9084.2240000000002</v>
      </c>
      <c r="L19" s="151">
        <v>6598.4059999999999</v>
      </c>
      <c r="M19" s="151">
        <v>113674.546</v>
      </c>
      <c r="N19" s="151">
        <v>86285.377999999997</v>
      </c>
      <c r="O19" s="151">
        <v>215227.94500000001</v>
      </c>
      <c r="P19" s="151">
        <v>26404.673999999999</v>
      </c>
      <c r="Q19" s="151">
        <f t="shared" si="0"/>
        <v>873049.26630687446</v>
      </c>
    </row>
    <row r="20" spans="1:17" ht="20.100000000000001" customHeight="1" x14ac:dyDescent="0.2">
      <c r="A20" s="152" t="s">
        <v>64</v>
      </c>
      <c r="B20" s="151">
        <v>10011.004000000001</v>
      </c>
      <c r="C20" s="151">
        <v>1006.173</v>
      </c>
      <c r="D20" s="151">
        <v>9701.2810000000009</v>
      </c>
      <c r="E20" s="151">
        <v>8229.625</v>
      </c>
      <c r="F20" s="151">
        <v>69920.03261146936</v>
      </c>
      <c r="G20" s="151">
        <v>23602.422999999999</v>
      </c>
      <c r="H20" s="151">
        <v>168175.79554099994</v>
      </c>
      <c r="I20" s="151">
        <v>426670.73300000001</v>
      </c>
      <c r="J20" s="151">
        <v>64705.728313500003</v>
      </c>
      <c r="K20" s="151">
        <v>45096.68</v>
      </c>
      <c r="L20" s="151">
        <v>2297.154</v>
      </c>
      <c r="M20" s="151">
        <v>100905.52099999999</v>
      </c>
      <c r="N20" s="151">
        <v>66012.296344412185</v>
      </c>
      <c r="O20" s="151">
        <v>342468.913</v>
      </c>
      <c r="P20" s="151">
        <v>9619.6239999999998</v>
      </c>
      <c r="Q20" s="151">
        <f t="shared" si="0"/>
        <v>1348422.9838103815</v>
      </c>
    </row>
    <row r="21" spans="1:17" ht="20.100000000000001" customHeight="1" x14ac:dyDescent="0.2">
      <c r="A21" s="152" t="s">
        <v>58</v>
      </c>
      <c r="B21" s="151">
        <v>-4178.2020000000002</v>
      </c>
      <c r="C21" s="151">
        <v>18419.580999999998</v>
      </c>
      <c r="D21" s="151">
        <v>-6885.7709999999997</v>
      </c>
      <c r="E21" s="151">
        <v>-4872.268</v>
      </c>
      <c r="F21" s="151">
        <v>-29231.101714765915</v>
      </c>
      <c r="G21" s="151">
        <v>-17670.325830000002</v>
      </c>
      <c r="H21" s="151">
        <v>-2991.0340108290202</v>
      </c>
      <c r="I21" s="151">
        <v>-258813.88800000001</v>
      </c>
      <c r="J21" s="151">
        <v>-60025.692603500022</v>
      </c>
      <c r="K21" s="151">
        <v>-36012.455999999998</v>
      </c>
      <c r="L21" s="151">
        <v>4301.2520000000004</v>
      </c>
      <c r="M21" s="151">
        <v>12769.025</v>
      </c>
      <c r="N21" s="151">
        <v>20273.081655587801</v>
      </c>
      <c r="O21" s="151">
        <v>-127240.96800000005</v>
      </c>
      <c r="P21" s="151">
        <v>16785.05</v>
      </c>
      <c r="Q21" s="151">
        <f t="shared" si="0"/>
        <v>-475373.71750350721</v>
      </c>
    </row>
    <row r="22" spans="1:17" ht="20.100000000000001" customHeight="1" x14ac:dyDescent="0.2">
      <c r="A22" s="150" t="s">
        <v>69</v>
      </c>
      <c r="B22" s="151">
        <v>69670.322</v>
      </c>
      <c r="C22" s="151">
        <v>14159.968000000001</v>
      </c>
      <c r="D22" s="151">
        <v>74646.452000000005</v>
      </c>
      <c r="E22" s="151">
        <v>22418.560000000001</v>
      </c>
      <c r="F22" s="151">
        <v>85347.562679999857</v>
      </c>
      <c r="G22" s="151">
        <v>101845.63800000001</v>
      </c>
      <c r="H22" s="151">
        <v>157928.43708999993</v>
      </c>
      <c r="I22" s="151">
        <v>453704.51699999999</v>
      </c>
      <c r="J22" s="151">
        <v>50459.39423999998</v>
      </c>
      <c r="K22" s="151">
        <v>153137.43700000001</v>
      </c>
      <c r="L22" s="151">
        <v>65825.61</v>
      </c>
      <c r="M22" s="151">
        <v>228159.90599999999</v>
      </c>
      <c r="N22" s="151">
        <v>93317.989000000001</v>
      </c>
      <c r="O22" s="151">
        <v>689753.86359999969</v>
      </c>
      <c r="P22" s="151">
        <v>8899.3580000000002</v>
      </c>
      <c r="Q22" s="151">
        <f t="shared" si="0"/>
        <v>2269275.0146099995</v>
      </c>
    </row>
    <row r="23" spans="1:17" ht="20.100000000000001" customHeight="1" x14ac:dyDescent="0.2">
      <c r="A23" s="150" t="s">
        <v>70</v>
      </c>
      <c r="B23" s="151">
        <v>18929.006000000001</v>
      </c>
      <c r="C23" s="151">
        <v>24959.062999999998</v>
      </c>
      <c r="D23" s="151">
        <v>-7029.9237000000003</v>
      </c>
      <c r="E23" s="151">
        <v>-1603.8520000000001</v>
      </c>
      <c r="F23" s="151">
        <v>22810.107677633354</v>
      </c>
      <c r="G23" s="151">
        <v>-59641.625829999997</v>
      </c>
      <c r="H23" s="151">
        <v>56571.710035750999</v>
      </c>
      <c r="I23" s="151">
        <v>53283.56</v>
      </c>
      <c r="J23" s="151">
        <v>22138.664541499966</v>
      </c>
      <c r="K23" s="151">
        <v>-22198.25</v>
      </c>
      <c r="L23" s="151">
        <v>-36803.438000000002</v>
      </c>
      <c r="M23" s="151">
        <v>53074.919000000002</v>
      </c>
      <c r="N23" s="151">
        <v>-46559.22603520604</v>
      </c>
      <c r="O23" s="151">
        <v>29212.741370345891</v>
      </c>
      <c r="P23" s="151">
        <v>7885.692</v>
      </c>
      <c r="Q23" s="151">
        <f t="shared" si="0"/>
        <v>115029.14806002415</v>
      </c>
    </row>
    <row r="24" spans="1:17" ht="20.100000000000001" customHeight="1" x14ac:dyDescent="0.2">
      <c r="A24" s="150" t="s">
        <v>71</v>
      </c>
      <c r="B24" s="151">
        <v>12395.956</v>
      </c>
      <c r="C24" s="151">
        <v>10980.237999999999</v>
      </c>
      <c r="D24" s="151">
        <v>16972.875</v>
      </c>
      <c r="E24" s="151">
        <v>5796.2839999999997</v>
      </c>
      <c r="F24" s="151">
        <v>618.44390999999996</v>
      </c>
      <c r="G24" s="151">
        <v>723.93200000000002</v>
      </c>
      <c r="H24" s="151">
        <v>27446.041000000001</v>
      </c>
      <c r="I24" s="151">
        <v>326108.11800000002</v>
      </c>
      <c r="J24" s="151">
        <v>35385.003860000012</v>
      </c>
      <c r="K24" s="151">
        <v>15041.338</v>
      </c>
      <c r="L24" s="151">
        <v>0</v>
      </c>
      <c r="M24" s="151">
        <v>37012.464999999997</v>
      </c>
      <c r="N24" s="151">
        <v>7093.5510000000004</v>
      </c>
      <c r="O24" s="151">
        <v>196554.96888</v>
      </c>
      <c r="P24" s="151">
        <v>535.08500000000004</v>
      </c>
      <c r="Q24" s="151">
        <f t="shared" si="0"/>
        <v>692664.29964999994</v>
      </c>
    </row>
    <row r="25" spans="1:17" ht="20.100000000000001" customHeight="1" x14ac:dyDescent="0.2">
      <c r="A25" s="150" t="s">
        <v>72</v>
      </c>
      <c r="B25" s="151">
        <v>31324.962</v>
      </c>
      <c r="C25" s="151">
        <v>35939.300999999999</v>
      </c>
      <c r="D25" s="151">
        <v>9942.9513000000006</v>
      </c>
      <c r="E25" s="151">
        <v>4192.4319999999998</v>
      </c>
      <c r="F25" s="151">
        <v>23428.551587633352</v>
      </c>
      <c r="G25" s="151">
        <v>-58917.693829999997</v>
      </c>
      <c r="H25" s="151">
        <v>84017.751035751018</v>
      </c>
      <c r="I25" s="151">
        <v>379391.67800000001</v>
      </c>
      <c r="J25" s="151">
        <v>57523.66840149997</v>
      </c>
      <c r="K25" s="151">
        <v>-7156.9120000000003</v>
      </c>
      <c r="L25" s="151">
        <v>-36803.438000000002</v>
      </c>
      <c r="M25" s="151">
        <v>90087.384000000005</v>
      </c>
      <c r="N25" s="151">
        <v>-39465.675035206041</v>
      </c>
      <c r="O25" s="151">
        <v>225767.71025034587</v>
      </c>
      <c r="P25" s="151">
        <v>8420.777</v>
      </c>
      <c r="Q25" s="151">
        <f t="shared" si="0"/>
        <v>807693.44771002419</v>
      </c>
    </row>
    <row r="26" spans="1:17" ht="20.100000000000001" customHeight="1" x14ac:dyDescent="0.2">
      <c r="A26" s="150" t="s">
        <v>73</v>
      </c>
      <c r="B26" s="151">
        <v>9767.3379999999997</v>
      </c>
      <c r="C26" s="151">
        <v>4324.5209999999997</v>
      </c>
      <c r="D26" s="151">
        <v>2138.9229999999998</v>
      </c>
      <c r="E26" s="151">
        <v>0</v>
      </c>
      <c r="F26" s="151">
        <v>0</v>
      </c>
      <c r="G26" s="151">
        <v>0</v>
      </c>
      <c r="H26" s="151">
        <v>16217.49</v>
      </c>
      <c r="I26" s="151">
        <v>19581.866999999998</v>
      </c>
      <c r="J26" s="151">
        <v>0</v>
      </c>
      <c r="K26" s="151">
        <v>0</v>
      </c>
      <c r="L26" s="151">
        <v>0</v>
      </c>
      <c r="M26" s="151">
        <v>14121.261</v>
      </c>
      <c r="N26" s="151">
        <v>3263.6460000000002</v>
      </c>
      <c r="O26" s="151">
        <v>8843.1239999999998</v>
      </c>
      <c r="P26" s="151">
        <v>0</v>
      </c>
      <c r="Q26" s="151">
        <f t="shared" si="0"/>
        <v>78258.169999999984</v>
      </c>
    </row>
    <row r="27" spans="1:17" ht="14.25" x14ac:dyDescent="0.2">
      <c r="A27" s="15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14.25" x14ac:dyDescent="0.2">
      <c r="A28" s="153" t="s">
        <v>87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14.25" x14ac:dyDescent="0.2">
      <c r="A29" s="169" t="s">
        <v>88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</sheetData>
  <mergeCells count="3">
    <mergeCell ref="A2:Q2"/>
    <mergeCell ref="A3:Q3"/>
    <mergeCell ref="A4:Q4"/>
  </mergeCells>
  <pageMargins left="0.7" right="0.7" top="0.75" bottom="0.75" header="0.3" footer="0.3"/>
  <pageSetup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7" sqref="A27"/>
    </sheetView>
  </sheetViews>
  <sheetFormatPr defaultRowHeight="12.75" x14ac:dyDescent="0.2"/>
  <cols>
    <col min="1" max="1" width="28.42578125" style="1" customWidth="1"/>
    <col min="2" max="2" width="17" style="23" customWidth="1"/>
    <col min="3" max="3" width="1.7109375" style="23" hidden="1" customWidth="1"/>
    <col min="4" max="4" width="9.5703125" style="23" customWidth="1"/>
    <col min="5" max="5" width="10.7109375" style="23" customWidth="1"/>
    <col min="6" max="7" width="10.28515625" style="23" customWidth="1"/>
    <col min="8" max="8" width="2" style="23" hidden="1" customWidth="1"/>
    <col min="9" max="9" width="10.7109375" style="23" customWidth="1"/>
    <col min="10" max="10" width="10.85546875" style="23" customWidth="1"/>
    <col min="11" max="11" width="11.28515625" style="23" customWidth="1"/>
    <col min="12" max="13" width="11.5703125" style="70" customWidth="1"/>
    <col min="14" max="14" width="10.7109375" style="23" customWidth="1"/>
    <col min="15" max="15" width="10.5703125" style="23" customWidth="1"/>
    <col min="16" max="16" width="15" style="71" customWidth="1"/>
    <col min="17" max="255" width="9.140625" style="1"/>
    <col min="256" max="256" width="28.42578125" style="1" customWidth="1"/>
    <col min="257" max="257" width="10.5703125" style="1" customWidth="1"/>
    <col min="258" max="258" width="0" style="1" hidden="1" customWidth="1"/>
    <col min="259" max="259" width="9.5703125" style="1" customWidth="1"/>
    <col min="260" max="260" width="10.7109375" style="1" customWidth="1"/>
    <col min="261" max="262" width="10.28515625" style="1" customWidth="1"/>
    <col min="263" max="263" width="0" style="1" hidden="1" customWidth="1"/>
    <col min="264" max="264" width="10.7109375" style="1" customWidth="1"/>
    <col min="265" max="265" width="10.85546875" style="1" customWidth="1"/>
    <col min="266" max="266" width="11.28515625" style="1" customWidth="1"/>
    <col min="267" max="268" width="11.5703125" style="1" customWidth="1"/>
    <col min="269" max="269" width="10.7109375" style="1" customWidth="1"/>
    <col min="270" max="270" width="10.5703125" style="1" customWidth="1"/>
    <col min="271" max="271" width="10.7109375" style="1" customWidth="1"/>
    <col min="272" max="272" width="15" style="1" customWidth="1"/>
    <col min="273" max="511" width="9.140625" style="1"/>
    <col min="512" max="512" width="28.42578125" style="1" customWidth="1"/>
    <col min="513" max="513" width="10.5703125" style="1" customWidth="1"/>
    <col min="514" max="514" width="0" style="1" hidden="1" customWidth="1"/>
    <col min="515" max="515" width="9.5703125" style="1" customWidth="1"/>
    <col min="516" max="516" width="10.7109375" style="1" customWidth="1"/>
    <col min="517" max="518" width="10.28515625" style="1" customWidth="1"/>
    <col min="519" max="519" width="0" style="1" hidden="1" customWidth="1"/>
    <col min="520" max="520" width="10.7109375" style="1" customWidth="1"/>
    <col min="521" max="521" width="10.85546875" style="1" customWidth="1"/>
    <col min="522" max="522" width="11.28515625" style="1" customWidth="1"/>
    <col min="523" max="524" width="11.5703125" style="1" customWidth="1"/>
    <col min="525" max="525" width="10.7109375" style="1" customWidth="1"/>
    <col min="526" max="526" width="10.5703125" style="1" customWidth="1"/>
    <col min="527" max="527" width="10.7109375" style="1" customWidth="1"/>
    <col min="528" max="528" width="15" style="1" customWidth="1"/>
    <col min="529" max="767" width="9.140625" style="1"/>
    <col min="768" max="768" width="28.42578125" style="1" customWidth="1"/>
    <col min="769" max="769" width="10.5703125" style="1" customWidth="1"/>
    <col min="770" max="770" width="0" style="1" hidden="1" customWidth="1"/>
    <col min="771" max="771" width="9.5703125" style="1" customWidth="1"/>
    <col min="772" max="772" width="10.7109375" style="1" customWidth="1"/>
    <col min="773" max="774" width="10.28515625" style="1" customWidth="1"/>
    <col min="775" max="775" width="0" style="1" hidden="1" customWidth="1"/>
    <col min="776" max="776" width="10.7109375" style="1" customWidth="1"/>
    <col min="777" max="777" width="10.85546875" style="1" customWidth="1"/>
    <col min="778" max="778" width="11.28515625" style="1" customWidth="1"/>
    <col min="779" max="780" width="11.5703125" style="1" customWidth="1"/>
    <col min="781" max="781" width="10.7109375" style="1" customWidth="1"/>
    <col min="782" max="782" width="10.5703125" style="1" customWidth="1"/>
    <col min="783" max="783" width="10.7109375" style="1" customWidth="1"/>
    <col min="784" max="784" width="15" style="1" customWidth="1"/>
    <col min="785" max="1023" width="9.140625" style="1"/>
    <col min="1024" max="1024" width="28.42578125" style="1" customWidth="1"/>
    <col min="1025" max="1025" width="10.5703125" style="1" customWidth="1"/>
    <col min="1026" max="1026" width="0" style="1" hidden="1" customWidth="1"/>
    <col min="1027" max="1027" width="9.5703125" style="1" customWidth="1"/>
    <col min="1028" max="1028" width="10.7109375" style="1" customWidth="1"/>
    <col min="1029" max="1030" width="10.28515625" style="1" customWidth="1"/>
    <col min="1031" max="1031" width="0" style="1" hidden="1" customWidth="1"/>
    <col min="1032" max="1032" width="10.7109375" style="1" customWidth="1"/>
    <col min="1033" max="1033" width="10.85546875" style="1" customWidth="1"/>
    <col min="1034" max="1034" width="11.28515625" style="1" customWidth="1"/>
    <col min="1035" max="1036" width="11.5703125" style="1" customWidth="1"/>
    <col min="1037" max="1037" width="10.7109375" style="1" customWidth="1"/>
    <col min="1038" max="1038" width="10.5703125" style="1" customWidth="1"/>
    <col min="1039" max="1039" width="10.7109375" style="1" customWidth="1"/>
    <col min="1040" max="1040" width="15" style="1" customWidth="1"/>
    <col min="1041" max="1279" width="9.140625" style="1"/>
    <col min="1280" max="1280" width="28.42578125" style="1" customWidth="1"/>
    <col min="1281" max="1281" width="10.5703125" style="1" customWidth="1"/>
    <col min="1282" max="1282" width="0" style="1" hidden="1" customWidth="1"/>
    <col min="1283" max="1283" width="9.5703125" style="1" customWidth="1"/>
    <col min="1284" max="1284" width="10.7109375" style="1" customWidth="1"/>
    <col min="1285" max="1286" width="10.28515625" style="1" customWidth="1"/>
    <col min="1287" max="1287" width="0" style="1" hidden="1" customWidth="1"/>
    <col min="1288" max="1288" width="10.7109375" style="1" customWidth="1"/>
    <col min="1289" max="1289" width="10.85546875" style="1" customWidth="1"/>
    <col min="1290" max="1290" width="11.28515625" style="1" customWidth="1"/>
    <col min="1291" max="1292" width="11.5703125" style="1" customWidth="1"/>
    <col min="1293" max="1293" width="10.7109375" style="1" customWidth="1"/>
    <col min="1294" max="1294" width="10.5703125" style="1" customWidth="1"/>
    <col min="1295" max="1295" width="10.7109375" style="1" customWidth="1"/>
    <col min="1296" max="1296" width="15" style="1" customWidth="1"/>
    <col min="1297" max="1535" width="9.140625" style="1"/>
    <col min="1536" max="1536" width="28.42578125" style="1" customWidth="1"/>
    <col min="1537" max="1537" width="10.5703125" style="1" customWidth="1"/>
    <col min="1538" max="1538" width="0" style="1" hidden="1" customWidth="1"/>
    <col min="1539" max="1539" width="9.5703125" style="1" customWidth="1"/>
    <col min="1540" max="1540" width="10.7109375" style="1" customWidth="1"/>
    <col min="1541" max="1542" width="10.28515625" style="1" customWidth="1"/>
    <col min="1543" max="1543" width="0" style="1" hidden="1" customWidth="1"/>
    <col min="1544" max="1544" width="10.7109375" style="1" customWidth="1"/>
    <col min="1545" max="1545" width="10.85546875" style="1" customWidth="1"/>
    <col min="1546" max="1546" width="11.28515625" style="1" customWidth="1"/>
    <col min="1547" max="1548" width="11.5703125" style="1" customWidth="1"/>
    <col min="1549" max="1549" width="10.7109375" style="1" customWidth="1"/>
    <col min="1550" max="1550" width="10.5703125" style="1" customWidth="1"/>
    <col min="1551" max="1551" width="10.7109375" style="1" customWidth="1"/>
    <col min="1552" max="1552" width="15" style="1" customWidth="1"/>
    <col min="1553" max="1791" width="9.140625" style="1"/>
    <col min="1792" max="1792" width="28.42578125" style="1" customWidth="1"/>
    <col min="1793" max="1793" width="10.5703125" style="1" customWidth="1"/>
    <col min="1794" max="1794" width="0" style="1" hidden="1" customWidth="1"/>
    <col min="1795" max="1795" width="9.5703125" style="1" customWidth="1"/>
    <col min="1796" max="1796" width="10.7109375" style="1" customWidth="1"/>
    <col min="1797" max="1798" width="10.28515625" style="1" customWidth="1"/>
    <col min="1799" max="1799" width="0" style="1" hidden="1" customWidth="1"/>
    <col min="1800" max="1800" width="10.7109375" style="1" customWidth="1"/>
    <col min="1801" max="1801" width="10.85546875" style="1" customWidth="1"/>
    <col min="1802" max="1802" width="11.28515625" style="1" customWidth="1"/>
    <col min="1803" max="1804" width="11.5703125" style="1" customWidth="1"/>
    <col min="1805" max="1805" width="10.7109375" style="1" customWidth="1"/>
    <col min="1806" max="1806" width="10.5703125" style="1" customWidth="1"/>
    <col min="1807" max="1807" width="10.7109375" style="1" customWidth="1"/>
    <col min="1808" max="1808" width="15" style="1" customWidth="1"/>
    <col min="1809" max="2047" width="9.140625" style="1"/>
    <col min="2048" max="2048" width="28.42578125" style="1" customWidth="1"/>
    <col min="2049" max="2049" width="10.5703125" style="1" customWidth="1"/>
    <col min="2050" max="2050" width="0" style="1" hidden="1" customWidth="1"/>
    <col min="2051" max="2051" width="9.5703125" style="1" customWidth="1"/>
    <col min="2052" max="2052" width="10.7109375" style="1" customWidth="1"/>
    <col min="2053" max="2054" width="10.28515625" style="1" customWidth="1"/>
    <col min="2055" max="2055" width="0" style="1" hidden="1" customWidth="1"/>
    <col min="2056" max="2056" width="10.7109375" style="1" customWidth="1"/>
    <col min="2057" max="2057" width="10.85546875" style="1" customWidth="1"/>
    <col min="2058" max="2058" width="11.28515625" style="1" customWidth="1"/>
    <col min="2059" max="2060" width="11.5703125" style="1" customWidth="1"/>
    <col min="2061" max="2061" width="10.7109375" style="1" customWidth="1"/>
    <col min="2062" max="2062" width="10.5703125" style="1" customWidth="1"/>
    <col min="2063" max="2063" width="10.7109375" style="1" customWidth="1"/>
    <col min="2064" max="2064" width="15" style="1" customWidth="1"/>
    <col min="2065" max="2303" width="9.140625" style="1"/>
    <col min="2304" max="2304" width="28.42578125" style="1" customWidth="1"/>
    <col min="2305" max="2305" width="10.5703125" style="1" customWidth="1"/>
    <col min="2306" max="2306" width="0" style="1" hidden="1" customWidth="1"/>
    <col min="2307" max="2307" width="9.5703125" style="1" customWidth="1"/>
    <col min="2308" max="2308" width="10.7109375" style="1" customWidth="1"/>
    <col min="2309" max="2310" width="10.28515625" style="1" customWidth="1"/>
    <col min="2311" max="2311" width="0" style="1" hidden="1" customWidth="1"/>
    <col min="2312" max="2312" width="10.7109375" style="1" customWidth="1"/>
    <col min="2313" max="2313" width="10.85546875" style="1" customWidth="1"/>
    <col min="2314" max="2314" width="11.28515625" style="1" customWidth="1"/>
    <col min="2315" max="2316" width="11.5703125" style="1" customWidth="1"/>
    <col min="2317" max="2317" width="10.7109375" style="1" customWidth="1"/>
    <col min="2318" max="2318" width="10.5703125" style="1" customWidth="1"/>
    <col min="2319" max="2319" width="10.7109375" style="1" customWidth="1"/>
    <col min="2320" max="2320" width="15" style="1" customWidth="1"/>
    <col min="2321" max="2559" width="9.140625" style="1"/>
    <col min="2560" max="2560" width="28.42578125" style="1" customWidth="1"/>
    <col min="2561" max="2561" width="10.5703125" style="1" customWidth="1"/>
    <col min="2562" max="2562" width="0" style="1" hidden="1" customWidth="1"/>
    <col min="2563" max="2563" width="9.5703125" style="1" customWidth="1"/>
    <col min="2564" max="2564" width="10.7109375" style="1" customWidth="1"/>
    <col min="2565" max="2566" width="10.28515625" style="1" customWidth="1"/>
    <col min="2567" max="2567" width="0" style="1" hidden="1" customWidth="1"/>
    <col min="2568" max="2568" width="10.7109375" style="1" customWidth="1"/>
    <col min="2569" max="2569" width="10.85546875" style="1" customWidth="1"/>
    <col min="2570" max="2570" width="11.28515625" style="1" customWidth="1"/>
    <col min="2571" max="2572" width="11.5703125" style="1" customWidth="1"/>
    <col min="2573" max="2573" width="10.7109375" style="1" customWidth="1"/>
    <col min="2574" max="2574" width="10.5703125" style="1" customWidth="1"/>
    <col min="2575" max="2575" width="10.7109375" style="1" customWidth="1"/>
    <col min="2576" max="2576" width="15" style="1" customWidth="1"/>
    <col min="2577" max="2815" width="9.140625" style="1"/>
    <col min="2816" max="2816" width="28.42578125" style="1" customWidth="1"/>
    <col min="2817" max="2817" width="10.5703125" style="1" customWidth="1"/>
    <col min="2818" max="2818" width="0" style="1" hidden="1" customWidth="1"/>
    <col min="2819" max="2819" width="9.5703125" style="1" customWidth="1"/>
    <col min="2820" max="2820" width="10.7109375" style="1" customWidth="1"/>
    <col min="2821" max="2822" width="10.28515625" style="1" customWidth="1"/>
    <col min="2823" max="2823" width="0" style="1" hidden="1" customWidth="1"/>
    <col min="2824" max="2824" width="10.7109375" style="1" customWidth="1"/>
    <col min="2825" max="2825" width="10.85546875" style="1" customWidth="1"/>
    <col min="2826" max="2826" width="11.28515625" style="1" customWidth="1"/>
    <col min="2827" max="2828" width="11.5703125" style="1" customWidth="1"/>
    <col min="2829" max="2829" width="10.7109375" style="1" customWidth="1"/>
    <col min="2830" max="2830" width="10.5703125" style="1" customWidth="1"/>
    <col min="2831" max="2831" width="10.7109375" style="1" customWidth="1"/>
    <col min="2832" max="2832" width="15" style="1" customWidth="1"/>
    <col min="2833" max="3071" width="9.140625" style="1"/>
    <col min="3072" max="3072" width="28.42578125" style="1" customWidth="1"/>
    <col min="3073" max="3073" width="10.5703125" style="1" customWidth="1"/>
    <col min="3074" max="3074" width="0" style="1" hidden="1" customWidth="1"/>
    <col min="3075" max="3075" width="9.5703125" style="1" customWidth="1"/>
    <col min="3076" max="3076" width="10.7109375" style="1" customWidth="1"/>
    <col min="3077" max="3078" width="10.28515625" style="1" customWidth="1"/>
    <col min="3079" max="3079" width="0" style="1" hidden="1" customWidth="1"/>
    <col min="3080" max="3080" width="10.7109375" style="1" customWidth="1"/>
    <col min="3081" max="3081" width="10.85546875" style="1" customWidth="1"/>
    <col min="3082" max="3082" width="11.28515625" style="1" customWidth="1"/>
    <col min="3083" max="3084" width="11.5703125" style="1" customWidth="1"/>
    <col min="3085" max="3085" width="10.7109375" style="1" customWidth="1"/>
    <col min="3086" max="3086" width="10.5703125" style="1" customWidth="1"/>
    <col min="3087" max="3087" width="10.7109375" style="1" customWidth="1"/>
    <col min="3088" max="3088" width="15" style="1" customWidth="1"/>
    <col min="3089" max="3327" width="9.140625" style="1"/>
    <col min="3328" max="3328" width="28.42578125" style="1" customWidth="1"/>
    <col min="3329" max="3329" width="10.5703125" style="1" customWidth="1"/>
    <col min="3330" max="3330" width="0" style="1" hidden="1" customWidth="1"/>
    <col min="3331" max="3331" width="9.5703125" style="1" customWidth="1"/>
    <col min="3332" max="3332" width="10.7109375" style="1" customWidth="1"/>
    <col min="3333" max="3334" width="10.28515625" style="1" customWidth="1"/>
    <col min="3335" max="3335" width="0" style="1" hidden="1" customWidth="1"/>
    <col min="3336" max="3336" width="10.7109375" style="1" customWidth="1"/>
    <col min="3337" max="3337" width="10.85546875" style="1" customWidth="1"/>
    <col min="3338" max="3338" width="11.28515625" style="1" customWidth="1"/>
    <col min="3339" max="3340" width="11.5703125" style="1" customWidth="1"/>
    <col min="3341" max="3341" width="10.7109375" style="1" customWidth="1"/>
    <col min="3342" max="3342" width="10.5703125" style="1" customWidth="1"/>
    <col min="3343" max="3343" width="10.7109375" style="1" customWidth="1"/>
    <col min="3344" max="3344" width="15" style="1" customWidth="1"/>
    <col min="3345" max="3583" width="9.140625" style="1"/>
    <col min="3584" max="3584" width="28.42578125" style="1" customWidth="1"/>
    <col min="3585" max="3585" width="10.5703125" style="1" customWidth="1"/>
    <col min="3586" max="3586" width="0" style="1" hidden="1" customWidth="1"/>
    <col min="3587" max="3587" width="9.5703125" style="1" customWidth="1"/>
    <col min="3588" max="3588" width="10.7109375" style="1" customWidth="1"/>
    <col min="3589" max="3590" width="10.28515625" style="1" customWidth="1"/>
    <col min="3591" max="3591" width="0" style="1" hidden="1" customWidth="1"/>
    <col min="3592" max="3592" width="10.7109375" style="1" customWidth="1"/>
    <col min="3593" max="3593" width="10.85546875" style="1" customWidth="1"/>
    <col min="3594" max="3594" width="11.28515625" style="1" customWidth="1"/>
    <col min="3595" max="3596" width="11.5703125" style="1" customWidth="1"/>
    <col min="3597" max="3597" width="10.7109375" style="1" customWidth="1"/>
    <col min="3598" max="3598" width="10.5703125" style="1" customWidth="1"/>
    <col min="3599" max="3599" width="10.7109375" style="1" customWidth="1"/>
    <col min="3600" max="3600" width="15" style="1" customWidth="1"/>
    <col min="3601" max="3839" width="9.140625" style="1"/>
    <col min="3840" max="3840" width="28.42578125" style="1" customWidth="1"/>
    <col min="3841" max="3841" width="10.5703125" style="1" customWidth="1"/>
    <col min="3842" max="3842" width="0" style="1" hidden="1" customWidth="1"/>
    <col min="3843" max="3843" width="9.5703125" style="1" customWidth="1"/>
    <col min="3844" max="3844" width="10.7109375" style="1" customWidth="1"/>
    <col min="3845" max="3846" width="10.28515625" style="1" customWidth="1"/>
    <col min="3847" max="3847" width="0" style="1" hidden="1" customWidth="1"/>
    <col min="3848" max="3848" width="10.7109375" style="1" customWidth="1"/>
    <col min="3849" max="3849" width="10.85546875" style="1" customWidth="1"/>
    <col min="3850" max="3850" width="11.28515625" style="1" customWidth="1"/>
    <col min="3851" max="3852" width="11.5703125" style="1" customWidth="1"/>
    <col min="3853" max="3853" width="10.7109375" style="1" customWidth="1"/>
    <col min="3854" max="3854" width="10.5703125" style="1" customWidth="1"/>
    <col min="3855" max="3855" width="10.7109375" style="1" customWidth="1"/>
    <col min="3856" max="3856" width="15" style="1" customWidth="1"/>
    <col min="3857" max="4095" width="9.140625" style="1"/>
    <col min="4096" max="4096" width="28.42578125" style="1" customWidth="1"/>
    <col min="4097" max="4097" width="10.5703125" style="1" customWidth="1"/>
    <col min="4098" max="4098" width="0" style="1" hidden="1" customWidth="1"/>
    <col min="4099" max="4099" width="9.5703125" style="1" customWidth="1"/>
    <col min="4100" max="4100" width="10.7109375" style="1" customWidth="1"/>
    <col min="4101" max="4102" width="10.28515625" style="1" customWidth="1"/>
    <col min="4103" max="4103" width="0" style="1" hidden="1" customWidth="1"/>
    <col min="4104" max="4104" width="10.7109375" style="1" customWidth="1"/>
    <col min="4105" max="4105" width="10.85546875" style="1" customWidth="1"/>
    <col min="4106" max="4106" width="11.28515625" style="1" customWidth="1"/>
    <col min="4107" max="4108" width="11.5703125" style="1" customWidth="1"/>
    <col min="4109" max="4109" width="10.7109375" style="1" customWidth="1"/>
    <col min="4110" max="4110" width="10.5703125" style="1" customWidth="1"/>
    <col min="4111" max="4111" width="10.7109375" style="1" customWidth="1"/>
    <col min="4112" max="4112" width="15" style="1" customWidth="1"/>
    <col min="4113" max="4351" width="9.140625" style="1"/>
    <col min="4352" max="4352" width="28.42578125" style="1" customWidth="1"/>
    <col min="4353" max="4353" width="10.5703125" style="1" customWidth="1"/>
    <col min="4354" max="4354" width="0" style="1" hidden="1" customWidth="1"/>
    <col min="4355" max="4355" width="9.5703125" style="1" customWidth="1"/>
    <col min="4356" max="4356" width="10.7109375" style="1" customWidth="1"/>
    <col min="4357" max="4358" width="10.28515625" style="1" customWidth="1"/>
    <col min="4359" max="4359" width="0" style="1" hidden="1" customWidth="1"/>
    <col min="4360" max="4360" width="10.7109375" style="1" customWidth="1"/>
    <col min="4361" max="4361" width="10.85546875" style="1" customWidth="1"/>
    <col min="4362" max="4362" width="11.28515625" style="1" customWidth="1"/>
    <col min="4363" max="4364" width="11.5703125" style="1" customWidth="1"/>
    <col min="4365" max="4365" width="10.7109375" style="1" customWidth="1"/>
    <col min="4366" max="4366" width="10.5703125" style="1" customWidth="1"/>
    <col min="4367" max="4367" width="10.7109375" style="1" customWidth="1"/>
    <col min="4368" max="4368" width="15" style="1" customWidth="1"/>
    <col min="4369" max="4607" width="9.140625" style="1"/>
    <col min="4608" max="4608" width="28.42578125" style="1" customWidth="1"/>
    <col min="4609" max="4609" width="10.5703125" style="1" customWidth="1"/>
    <col min="4610" max="4610" width="0" style="1" hidden="1" customWidth="1"/>
    <col min="4611" max="4611" width="9.5703125" style="1" customWidth="1"/>
    <col min="4612" max="4612" width="10.7109375" style="1" customWidth="1"/>
    <col min="4613" max="4614" width="10.28515625" style="1" customWidth="1"/>
    <col min="4615" max="4615" width="0" style="1" hidden="1" customWidth="1"/>
    <col min="4616" max="4616" width="10.7109375" style="1" customWidth="1"/>
    <col min="4617" max="4617" width="10.85546875" style="1" customWidth="1"/>
    <col min="4618" max="4618" width="11.28515625" style="1" customWidth="1"/>
    <col min="4619" max="4620" width="11.5703125" style="1" customWidth="1"/>
    <col min="4621" max="4621" width="10.7109375" style="1" customWidth="1"/>
    <col min="4622" max="4622" width="10.5703125" style="1" customWidth="1"/>
    <col min="4623" max="4623" width="10.7109375" style="1" customWidth="1"/>
    <col min="4624" max="4624" width="15" style="1" customWidth="1"/>
    <col min="4625" max="4863" width="9.140625" style="1"/>
    <col min="4864" max="4864" width="28.42578125" style="1" customWidth="1"/>
    <col min="4865" max="4865" width="10.5703125" style="1" customWidth="1"/>
    <col min="4866" max="4866" width="0" style="1" hidden="1" customWidth="1"/>
    <col min="4867" max="4867" width="9.5703125" style="1" customWidth="1"/>
    <col min="4868" max="4868" width="10.7109375" style="1" customWidth="1"/>
    <col min="4869" max="4870" width="10.28515625" style="1" customWidth="1"/>
    <col min="4871" max="4871" width="0" style="1" hidden="1" customWidth="1"/>
    <col min="4872" max="4872" width="10.7109375" style="1" customWidth="1"/>
    <col min="4873" max="4873" width="10.85546875" style="1" customWidth="1"/>
    <col min="4874" max="4874" width="11.28515625" style="1" customWidth="1"/>
    <col min="4875" max="4876" width="11.5703125" style="1" customWidth="1"/>
    <col min="4877" max="4877" width="10.7109375" style="1" customWidth="1"/>
    <col min="4878" max="4878" width="10.5703125" style="1" customWidth="1"/>
    <col min="4879" max="4879" width="10.7109375" style="1" customWidth="1"/>
    <col min="4880" max="4880" width="15" style="1" customWidth="1"/>
    <col min="4881" max="5119" width="9.140625" style="1"/>
    <col min="5120" max="5120" width="28.42578125" style="1" customWidth="1"/>
    <col min="5121" max="5121" width="10.5703125" style="1" customWidth="1"/>
    <col min="5122" max="5122" width="0" style="1" hidden="1" customWidth="1"/>
    <col min="5123" max="5123" width="9.5703125" style="1" customWidth="1"/>
    <col min="5124" max="5124" width="10.7109375" style="1" customWidth="1"/>
    <col min="5125" max="5126" width="10.28515625" style="1" customWidth="1"/>
    <col min="5127" max="5127" width="0" style="1" hidden="1" customWidth="1"/>
    <col min="5128" max="5128" width="10.7109375" style="1" customWidth="1"/>
    <col min="5129" max="5129" width="10.85546875" style="1" customWidth="1"/>
    <col min="5130" max="5130" width="11.28515625" style="1" customWidth="1"/>
    <col min="5131" max="5132" width="11.5703125" style="1" customWidth="1"/>
    <col min="5133" max="5133" width="10.7109375" style="1" customWidth="1"/>
    <col min="5134" max="5134" width="10.5703125" style="1" customWidth="1"/>
    <col min="5135" max="5135" width="10.7109375" style="1" customWidth="1"/>
    <col min="5136" max="5136" width="15" style="1" customWidth="1"/>
    <col min="5137" max="5375" width="9.140625" style="1"/>
    <col min="5376" max="5376" width="28.42578125" style="1" customWidth="1"/>
    <col min="5377" max="5377" width="10.5703125" style="1" customWidth="1"/>
    <col min="5378" max="5378" width="0" style="1" hidden="1" customWidth="1"/>
    <col min="5379" max="5379" width="9.5703125" style="1" customWidth="1"/>
    <col min="5380" max="5380" width="10.7109375" style="1" customWidth="1"/>
    <col min="5381" max="5382" width="10.28515625" style="1" customWidth="1"/>
    <col min="5383" max="5383" width="0" style="1" hidden="1" customWidth="1"/>
    <col min="5384" max="5384" width="10.7109375" style="1" customWidth="1"/>
    <col min="5385" max="5385" width="10.85546875" style="1" customWidth="1"/>
    <col min="5386" max="5386" width="11.28515625" style="1" customWidth="1"/>
    <col min="5387" max="5388" width="11.5703125" style="1" customWidth="1"/>
    <col min="5389" max="5389" width="10.7109375" style="1" customWidth="1"/>
    <col min="5390" max="5390" width="10.5703125" style="1" customWidth="1"/>
    <col min="5391" max="5391" width="10.7109375" style="1" customWidth="1"/>
    <col min="5392" max="5392" width="15" style="1" customWidth="1"/>
    <col min="5393" max="5631" width="9.140625" style="1"/>
    <col min="5632" max="5632" width="28.42578125" style="1" customWidth="1"/>
    <col min="5633" max="5633" width="10.5703125" style="1" customWidth="1"/>
    <col min="5634" max="5634" width="0" style="1" hidden="1" customWidth="1"/>
    <col min="5635" max="5635" width="9.5703125" style="1" customWidth="1"/>
    <col min="5636" max="5636" width="10.7109375" style="1" customWidth="1"/>
    <col min="5637" max="5638" width="10.28515625" style="1" customWidth="1"/>
    <col min="5639" max="5639" width="0" style="1" hidden="1" customWidth="1"/>
    <col min="5640" max="5640" width="10.7109375" style="1" customWidth="1"/>
    <col min="5641" max="5641" width="10.85546875" style="1" customWidth="1"/>
    <col min="5642" max="5642" width="11.28515625" style="1" customWidth="1"/>
    <col min="5643" max="5644" width="11.5703125" style="1" customWidth="1"/>
    <col min="5645" max="5645" width="10.7109375" style="1" customWidth="1"/>
    <col min="5646" max="5646" width="10.5703125" style="1" customWidth="1"/>
    <col min="5647" max="5647" width="10.7109375" style="1" customWidth="1"/>
    <col min="5648" max="5648" width="15" style="1" customWidth="1"/>
    <col min="5649" max="5887" width="9.140625" style="1"/>
    <col min="5888" max="5888" width="28.42578125" style="1" customWidth="1"/>
    <col min="5889" max="5889" width="10.5703125" style="1" customWidth="1"/>
    <col min="5890" max="5890" width="0" style="1" hidden="1" customWidth="1"/>
    <col min="5891" max="5891" width="9.5703125" style="1" customWidth="1"/>
    <col min="5892" max="5892" width="10.7109375" style="1" customWidth="1"/>
    <col min="5893" max="5894" width="10.28515625" style="1" customWidth="1"/>
    <col min="5895" max="5895" width="0" style="1" hidden="1" customWidth="1"/>
    <col min="5896" max="5896" width="10.7109375" style="1" customWidth="1"/>
    <col min="5897" max="5897" width="10.85546875" style="1" customWidth="1"/>
    <col min="5898" max="5898" width="11.28515625" style="1" customWidth="1"/>
    <col min="5899" max="5900" width="11.5703125" style="1" customWidth="1"/>
    <col min="5901" max="5901" width="10.7109375" style="1" customWidth="1"/>
    <col min="5902" max="5902" width="10.5703125" style="1" customWidth="1"/>
    <col min="5903" max="5903" width="10.7109375" style="1" customWidth="1"/>
    <col min="5904" max="5904" width="15" style="1" customWidth="1"/>
    <col min="5905" max="6143" width="9.140625" style="1"/>
    <col min="6144" max="6144" width="28.42578125" style="1" customWidth="1"/>
    <col min="6145" max="6145" width="10.5703125" style="1" customWidth="1"/>
    <col min="6146" max="6146" width="0" style="1" hidden="1" customWidth="1"/>
    <col min="6147" max="6147" width="9.5703125" style="1" customWidth="1"/>
    <col min="6148" max="6148" width="10.7109375" style="1" customWidth="1"/>
    <col min="6149" max="6150" width="10.28515625" style="1" customWidth="1"/>
    <col min="6151" max="6151" width="0" style="1" hidden="1" customWidth="1"/>
    <col min="6152" max="6152" width="10.7109375" style="1" customWidth="1"/>
    <col min="6153" max="6153" width="10.85546875" style="1" customWidth="1"/>
    <col min="6154" max="6154" width="11.28515625" style="1" customWidth="1"/>
    <col min="6155" max="6156" width="11.5703125" style="1" customWidth="1"/>
    <col min="6157" max="6157" width="10.7109375" style="1" customWidth="1"/>
    <col min="6158" max="6158" width="10.5703125" style="1" customWidth="1"/>
    <col min="6159" max="6159" width="10.7109375" style="1" customWidth="1"/>
    <col min="6160" max="6160" width="15" style="1" customWidth="1"/>
    <col min="6161" max="6399" width="9.140625" style="1"/>
    <col min="6400" max="6400" width="28.42578125" style="1" customWidth="1"/>
    <col min="6401" max="6401" width="10.5703125" style="1" customWidth="1"/>
    <col min="6402" max="6402" width="0" style="1" hidden="1" customWidth="1"/>
    <col min="6403" max="6403" width="9.5703125" style="1" customWidth="1"/>
    <col min="6404" max="6404" width="10.7109375" style="1" customWidth="1"/>
    <col min="6405" max="6406" width="10.28515625" style="1" customWidth="1"/>
    <col min="6407" max="6407" width="0" style="1" hidden="1" customWidth="1"/>
    <col min="6408" max="6408" width="10.7109375" style="1" customWidth="1"/>
    <col min="6409" max="6409" width="10.85546875" style="1" customWidth="1"/>
    <col min="6410" max="6410" width="11.28515625" style="1" customWidth="1"/>
    <col min="6411" max="6412" width="11.5703125" style="1" customWidth="1"/>
    <col min="6413" max="6413" width="10.7109375" style="1" customWidth="1"/>
    <col min="6414" max="6414" width="10.5703125" style="1" customWidth="1"/>
    <col min="6415" max="6415" width="10.7109375" style="1" customWidth="1"/>
    <col min="6416" max="6416" width="15" style="1" customWidth="1"/>
    <col min="6417" max="6655" width="9.140625" style="1"/>
    <col min="6656" max="6656" width="28.42578125" style="1" customWidth="1"/>
    <col min="6657" max="6657" width="10.5703125" style="1" customWidth="1"/>
    <col min="6658" max="6658" width="0" style="1" hidden="1" customWidth="1"/>
    <col min="6659" max="6659" width="9.5703125" style="1" customWidth="1"/>
    <col min="6660" max="6660" width="10.7109375" style="1" customWidth="1"/>
    <col min="6661" max="6662" width="10.28515625" style="1" customWidth="1"/>
    <col min="6663" max="6663" width="0" style="1" hidden="1" customWidth="1"/>
    <col min="6664" max="6664" width="10.7109375" style="1" customWidth="1"/>
    <col min="6665" max="6665" width="10.85546875" style="1" customWidth="1"/>
    <col min="6666" max="6666" width="11.28515625" style="1" customWidth="1"/>
    <col min="6667" max="6668" width="11.5703125" style="1" customWidth="1"/>
    <col min="6669" max="6669" width="10.7109375" style="1" customWidth="1"/>
    <col min="6670" max="6670" width="10.5703125" style="1" customWidth="1"/>
    <col min="6671" max="6671" width="10.7109375" style="1" customWidth="1"/>
    <col min="6672" max="6672" width="15" style="1" customWidth="1"/>
    <col min="6673" max="6911" width="9.140625" style="1"/>
    <col min="6912" max="6912" width="28.42578125" style="1" customWidth="1"/>
    <col min="6913" max="6913" width="10.5703125" style="1" customWidth="1"/>
    <col min="6914" max="6914" width="0" style="1" hidden="1" customWidth="1"/>
    <col min="6915" max="6915" width="9.5703125" style="1" customWidth="1"/>
    <col min="6916" max="6916" width="10.7109375" style="1" customWidth="1"/>
    <col min="6917" max="6918" width="10.28515625" style="1" customWidth="1"/>
    <col min="6919" max="6919" width="0" style="1" hidden="1" customWidth="1"/>
    <col min="6920" max="6920" width="10.7109375" style="1" customWidth="1"/>
    <col min="6921" max="6921" width="10.85546875" style="1" customWidth="1"/>
    <col min="6922" max="6922" width="11.28515625" style="1" customWidth="1"/>
    <col min="6923" max="6924" width="11.5703125" style="1" customWidth="1"/>
    <col min="6925" max="6925" width="10.7109375" style="1" customWidth="1"/>
    <col min="6926" max="6926" width="10.5703125" style="1" customWidth="1"/>
    <col min="6927" max="6927" width="10.7109375" style="1" customWidth="1"/>
    <col min="6928" max="6928" width="15" style="1" customWidth="1"/>
    <col min="6929" max="7167" width="9.140625" style="1"/>
    <col min="7168" max="7168" width="28.42578125" style="1" customWidth="1"/>
    <col min="7169" max="7169" width="10.5703125" style="1" customWidth="1"/>
    <col min="7170" max="7170" width="0" style="1" hidden="1" customWidth="1"/>
    <col min="7171" max="7171" width="9.5703125" style="1" customWidth="1"/>
    <col min="7172" max="7172" width="10.7109375" style="1" customWidth="1"/>
    <col min="7173" max="7174" width="10.28515625" style="1" customWidth="1"/>
    <col min="7175" max="7175" width="0" style="1" hidden="1" customWidth="1"/>
    <col min="7176" max="7176" width="10.7109375" style="1" customWidth="1"/>
    <col min="7177" max="7177" width="10.85546875" style="1" customWidth="1"/>
    <col min="7178" max="7178" width="11.28515625" style="1" customWidth="1"/>
    <col min="7179" max="7180" width="11.5703125" style="1" customWidth="1"/>
    <col min="7181" max="7181" width="10.7109375" style="1" customWidth="1"/>
    <col min="7182" max="7182" width="10.5703125" style="1" customWidth="1"/>
    <col min="7183" max="7183" width="10.7109375" style="1" customWidth="1"/>
    <col min="7184" max="7184" width="15" style="1" customWidth="1"/>
    <col min="7185" max="7423" width="9.140625" style="1"/>
    <col min="7424" max="7424" width="28.42578125" style="1" customWidth="1"/>
    <col min="7425" max="7425" width="10.5703125" style="1" customWidth="1"/>
    <col min="7426" max="7426" width="0" style="1" hidden="1" customWidth="1"/>
    <col min="7427" max="7427" width="9.5703125" style="1" customWidth="1"/>
    <col min="7428" max="7428" width="10.7109375" style="1" customWidth="1"/>
    <col min="7429" max="7430" width="10.28515625" style="1" customWidth="1"/>
    <col min="7431" max="7431" width="0" style="1" hidden="1" customWidth="1"/>
    <col min="7432" max="7432" width="10.7109375" style="1" customWidth="1"/>
    <col min="7433" max="7433" width="10.85546875" style="1" customWidth="1"/>
    <col min="7434" max="7434" width="11.28515625" style="1" customWidth="1"/>
    <col min="7435" max="7436" width="11.5703125" style="1" customWidth="1"/>
    <col min="7437" max="7437" width="10.7109375" style="1" customWidth="1"/>
    <col min="7438" max="7438" width="10.5703125" style="1" customWidth="1"/>
    <col min="7439" max="7439" width="10.7109375" style="1" customWidth="1"/>
    <col min="7440" max="7440" width="15" style="1" customWidth="1"/>
    <col min="7441" max="7679" width="9.140625" style="1"/>
    <col min="7680" max="7680" width="28.42578125" style="1" customWidth="1"/>
    <col min="7681" max="7681" width="10.5703125" style="1" customWidth="1"/>
    <col min="7682" max="7682" width="0" style="1" hidden="1" customWidth="1"/>
    <col min="7683" max="7683" width="9.5703125" style="1" customWidth="1"/>
    <col min="7684" max="7684" width="10.7109375" style="1" customWidth="1"/>
    <col min="7685" max="7686" width="10.28515625" style="1" customWidth="1"/>
    <col min="7687" max="7687" width="0" style="1" hidden="1" customWidth="1"/>
    <col min="7688" max="7688" width="10.7109375" style="1" customWidth="1"/>
    <col min="7689" max="7689" width="10.85546875" style="1" customWidth="1"/>
    <col min="7690" max="7690" width="11.28515625" style="1" customWidth="1"/>
    <col min="7691" max="7692" width="11.5703125" style="1" customWidth="1"/>
    <col min="7693" max="7693" width="10.7109375" style="1" customWidth="1"/>
    <col min="7694" max="7694" width="10.5703125" style="1" customWidth="1"/>
    <col min="7695" max="7695" width="10.7109375" style="1" customWidth="1"/>
    <col min="7696" max="7696" width="15" style="1" customWidth="1"/>
    <col min="7697" max="7935" width="9.140625" style="1"/>
    <col min="7936" max="7936" width="28.42578125" style="1" customWidth="1"/>
    <col min="7937" max="7937" width="10.5703125" style="1" customWidth="1"/>
    <col min="7938" max="7938" width="0" style="1" hidden="1" customWidth="1"/>
    <col min="7939" max="7939" width="9.5703125" style="1" customWidth="1"/>
    <col min="7940" max="7940" width="10.7109375" style="1" customWidth="1"/>
    <col min="7941" max="7942" width="10.28515625" style="1" customWidth="1"/>
    <col min="7943" max="7943" width="0" style="1" hidden="1" customWidth="1"/>
    <col min="7944" max="7944" width="10.7109375" style="1" customWidth="1"/>
    <col min="7945" max="7945" width="10.85546875" style="1" customWidth="1"/>
    <col min="7946" max="7946" width="11.28515625" style="1" customWidth="1"/>
    <col min="7947" max="7948" width="11.5703125" style="1" customWidth="1"/>
    <col min="7949" max="7949" width="10.7109375" style="1" customWidth="1"/>
    <col min="7950" max="7950" width="10.5703125" style="1" customWidth="1"/>
    <col min="7951" max="7951" width="10.7109375" style="1" customWidth="1"/>
    <col min="7952" max="7952" width="15" style="1" customWidth="1"/>
    <col min="7953" max="8191" width="9.140625" style="1"/>
    <col min="8192" max="8192" width="28.42578125" style="1" customWidth="1"/>
    <col min="8193" max="8193" width="10.5703125" style="1" customWidth="1"/>
    <col min="8194" max="8194" width="0" style="1" hidden="1" customWidth="1"/>
    <col min="8195" max="8195" width="9.5703125" style="1" customWidth="1"/>
    <col min="8196" max="8196" width="10.7109375" style="1" customWidth="1"/>
    <col min="8197" max="8198" width="10.28515625" style="1" customWidth="1"/>
    <col min="8199" max="8199" width="0" style="1" hidden="1" customWidth="1"/>
    <col min="8200" max="8200" width="10.7109375" style="1" customWidth="1"/>
    <col min="8201" max="8201" width="10.85546875" style="1" customWidth="1"/>
    <col min="8202" max="8202" width="11.28515625" style="1" customWidth="1"/>
    <col min="8203" max="8204" width="11.5703125" style="1" customWidth="1"/>
    <col min="8205" max="8205" width="10.7109375" style="1" customWidth="1"/>
    <col min="8206" max="8206" width="10.5703125" style="1" customWidth="1"/>
    <col min="8207" max="8207" width="10.7109375" style="1" customWidth="1"/>
    <col min="8208" max="8208" width="15" style="1" customWidth="1"/>
    <col min="8209" max="8447" width="9.140625" style="1"/>
    <col min="8448" max="8448" width="28.42578125" style="1" customWidth="1"/>
    <col min="8449" max="8449" width="10.5703125" style="1" customWidth="1"/>
    <col min="8450" max="8450" width="0" style="1" hidden="1" customWidth="1"/>
    <col min="8451" max="8451" width="9.5703125" style="1" customWidth="1"/>
    <col min="8452" max="8452" width="10.7109375" style="1" customWidth="1"/>
    <col min="8453" max="8454" width="10.28515625" style="1" customWidth="1"/>
    <col min="8455" max="8455" width="0" style="1" hidden="1" customWidth="1"/>
    <col min="8456" max="8456" width="10.7109375" style="1" customWidth="1"/>
    <col min="8457" max="8457" width="10.85546875" style="1" customWidth="1"/>
    <col min="8458" max="8458" width="11.28515625" style="1" customWidth="1"/>
    <col min="8459" max="8460" width="11.5703125" style="1" customWidth="1"/>
    <col min="8461" max="8461" width="10.7109375" style="1" customWidth="1"/>
    <col min="8462" max="8462" width="10.5703125" style="1" customWidth="1"/>
    <col min="8463" max="8463" width="10.7109375" style="1" customWidth="1"/>
    <col min="8464" max="8464" width="15" style="1" customWidth="1"/>
    <col min="8465" max="8703" width="9.140625" style="1"/>
    <col min="8704" max="8704" width="28.42578125" style="1" customWidth="1"/>
    <col min="8705" max="8705" width="10.5703125" style="1" customWidth="1"/>
    <col min="8706" max="8706" width="0" style="1" hidden="1" customWidth="1"/>
    <col min="8707" max="8707" width="9.5703125" style="1" customWidth="1"/>
    <col min="8708" max="8708" width="10.7109375" style="1" customWidth="1"/>
    <col min="8709" max="8710" width="10.28515625" style="1" customWidth="1"/>
    <col min="8711" max="8711" width="0" style="1" hidden="1" customWidth="1"/>
    <col min="8712" max="8712" width="10.7109375" style="1" customWidth="1"/>
    <col min="8713" max="8713" width="10.85546875" style="1" customWidth="1"/>
    <col min="8714" max="8714" width="11.28515625" style="1" customWidth="1"/>
    <col min="8715" max="8716" width="11.5703125" style="1" customWidth="1"/>
    <col min="8717" max="8717" width="10.7109375" style="1" customWidth="1"/>
    <col min="8718" max="8718" width="10.5703125" style="1" customWidth="1"/>
    <col min="8719" max="8719" width="10.7109375" style="1" customWidth="1"/>
    <col min="8720" max="8720" width="15" style="1" customWidth="1"/>
    <col min="8721" max="8959" width="9.140625" style="1"/>
    <col min="8960" max="8960" width="28.42578125" style="1" customWidth="1"/>
    <col min="8961" max="8961" width="10.5703125" style="1" customWidth="1"/>
    <col min="8962" max="8962" width="0" style="1" hidden="1" customWidth="1"/>
    <col min="8963" max="8963" width="9.5703125" style="1" customWidth="1"/>
    <col min="8964" max="8964" width="10.7109375" style="1" customWidth="1"/>
    <col min="8965" max="8966" width="10.28515625" style="1" customWidth="1"/>
    <col min="8967" max="8967" width="0" style="1" hidden="1" customWidth="1"/>
    <col min="8968" max="8968" width="10.7109375" style="1" customWidth="1"/>
    <col min="8969" max="8969" width="10.85546875" style="1" customWidth="1"/>
    <col min="8970" max="8970" width="11.28515625" style="1" customWidth="1"/>
    <col min="8971" max="8972" width="11.5703125" style="1" customWidth="1"/>
    <col min="8973" max="8973" width="10.7109375" style="1" customWidth="1"/>
    <col min="8974" max="8974" width="10.5703125" style="1" customWidth="1"/>
    <col min="8975" max="8975" width="10.7109375" style="1" customWidth="1"/>
    <col min="8976" max="8976" width="15" style="1" customWidth="1"/>
    <col min="8977" max="9215" width="9.140625" style="1"/>
    <col min="9216" max="9216" width="28.42578125" style="1" customWidth="1"/>
    <col min="9217" max="9217" width="10.5703125" style="1" customWidth="1"/>
    <col min="9218" max="9218" width="0" style="1" hidden="1" customWidth="1"/>
    <col min="9219" max="9219" width="9.5703125" style="1" customWidth="1"/>
    <col min="9220" max="9220" width="10.7109375" style="1" customWidth="1"/>
    <col min="9221" max="9222" width="10.28515625" style="1" customWidth="1"/>
    <col min="9223" max="9223" width="0" style="1" hidden="1" customWidth="1"/>
    <col min="9224" max="9224" width="10.7109375" style="1" customWidth="1"/>
    <col min="9225" max="9225" width="10.85546875" style="1" customWidth="1"/>
    <col min="9226" max="9226" width="11.28515625" style="1" customWidth="1"/>
    <col min="9227" max="9228" width="11.5703125" style="1" customWidth="1"/>
    <col min="9229" max="9229" width="10.7109375" style="1" customWidth="1"/>
    <col min="9230" max="9230" width="10.5703125" style="1" customWidth="1"/>
    <col min="9231" max="9231" width="10.7109375" style="1" customWidth="1"/>
    <col min="9232" max="9232" width="15" style="1" customWidth="1"/>
    <col min="9233" max="9471" width="9.140625" style="1"/>
    <col min="9472" max="9472" width="28.42578125" style="1" customWidth="1"/>
    <col min="9473" max="9473" width="10.5703125" style="1" customWidth="1"/>
    <col min="9474" max="9474" width="0" style="1" hidden="1" customWidth="1"/>
    <col min="9475" max="9475" width="9.5703125" style="1" customWidth="1"/>
    <col min="9476" max="9476" width="10.7109375" style="1" customWidth="1"/>
    <col min="9477" max="9478" width="10.28515625" style="1" customWidth="1"/>
    <col min="9479" max="9479" width="0" style="1" hidden="1" customWidth="1"/>
    <col min="9480" max="9480" width="10.7109375" style="1" customWidth="1"/>
    <col min="9481" max="9481" width="10.85546875" style="1" customWidth="1"/>
    <col min="9482" max="9482" width="11.28515625" style="1" customWidth="1"/>
    <col min="9483" max="9484" width="11.5703125" style="1" customWidth="1"/>
    <col min="9485" max="9485" width="10.7109375" style="1" customWidth="1"/>
    <col min="9486" max="9486" width="10.5703125" style="1" customWidth="1"/>
    <col min="9487" max="9487" width="10.7109375" style="1" customWidth="1"/>
    <col min="9488" max="9488" width="15" style="1" customWidth="1"/>
    <col min="9489" max="9727" width="9.140625" style="1"/>
    <col min="9728" max="9728" width="28.42578125" style="1" customWidth="1"/>
    <col min="9729" max="9729" width="10.5703125" style="1" customWidth="1"/>
    <col min="9730" max="9730" width="0" style="1" hidden="1" customWidth="1"/>
    <col min="9731" max="9731" width="9.5703125" style="1" customWidth="1"/>
    <col min="9732" max="9732" width="10.7109375" style="1" customWidth="1"/>
    <col min="9733" max="9734" width="10.28515625" style="1" customWidth="1"/>
    <col min="9735" max="9735" width="0" style="1" hidden="1" customWidth="1"/>
    <col min="9736" max="9736" width="10.7109375" style="1" customWidth="1"/>
    <col min="9737" max="9737" width="10.85546875" style="1" customWidth="1"/>
    <col min="9738" max="9738" width="11.28515625" style="1" customWidth="1"/>
    <col min="9739" max="9740" width="11.5703125" style="1" customWidth="1"/>
    <col min="9741" max="9741" width="10.7109375" style="1" customWidth="1"/>
    <col min="9742" max="9742" width="10.5703125" style="1" customWidth="1"/>
    <col min="9743" max="9743" width="10.7109375" style="1" customWidth="1"/>
    <col min="9744" max="9744" width="15" style="1" customWidth="1"/>
    <col min="9745" max="9983" width="9.140625" style="1"/>
    <col min="9984" max="9984" width="28.42578125" style="1" customWidth="1"/>
    <col min="9985" max="9985" width="10.5703125" style="1" customWidth="1"/>
    <col min="9986" max="9986" width="0" style="1" hidden="1" customWidth="1"/>
    <col min="9987" max="9987" width="9.5703125" style="1" customWidth="1"/>
    <col min="9988" max="9988" width="10.7109375" style="1" customWidth="1"/>
    <col min="9989" max="9990" width="10.28515625" style="1" customWidth="1"/>
    <col min="9991" max="9991" width="0" style="1" hidden="1" customWidth="1"/>
    <col min="9992" max="9992" width="10.7109375" style="1" customWidth="1"/>
    <col min="9993" max="9993" width="10.85546875" style="1" customWidth="1"/>
    <col min="9994" max="9994" width="11.28515625" style="1" customWidth="1"/>
    <col min="9995" max="9996" width="11.5703125" style="1" customWidth="1"/>
    <col min="9997" max="9997" width="10.7109375" style="1" customWidth="1"/>
    <col min="9998" max="9998" width="10.5703125" style="1" customWidth="1"/>
    <col min="9999" max="9999" width="10.7109375" style="1" customWidth="1"/>
    <col min="10000" max="10000" width="15" style="1" customWidth="1"/>
    <col min="10001" max="10239" width="9.140625" style="1"/>
    <col min="10240" max="10240" width="28.42578125" style="1" customWidth="1"/>
    <col min="10241" max="10241" width="10.5703125" style="1" customWidth="1"/>
    <col min="10242" max="10242" width="0" style="1" hidden="1" customWidth="1"/>
    <col min="10243" max="10243" width="9.5703125" style="1" customWidth="1"/>
    <col min="10244" max="10244" width="10.7109375" style="1" customWidth="1"/>
    <col min="10245" max="10246" width="10.28515625" style="1" customWidth="1"/>
    <col min="10247" max="10247" width="0" style="1" hidden="1" customWidth="1"/>
    <col min="10248" max="10248" width="10.7109375" style="1" customWidth="1"/>
    <col min="10249" max="10249" width="10.85546875" style="1" customWidth="1"/>
    <col min="10250" max="10250" width="11.28515625" style="1" customWidth="1"/>
    <col min="10251" max="10252" width="11.5703125" style="1" customWidth="1"/>
    <col min="10253" max="10253" width="10.7109375" style="1" customWidth="1"/>
    <col min="10254" max="10254" width="10.5703125" style="1" customWidth="1"/>
    <col min="10255" max="10255" width="10.7109375" style="1" customWidth="1"/>
    <col min="10256" max="10256" width="15" style="1" customWidth="1"/>
    <col min="10257" max="10495" width="9.140625" style="1"/>
    <col min="10496" max="10496" width="28.42578125" style="1" customWidth="1"/>
    <col min="10497" max="10497" width="10.5703125" style="1" customWidth="1"/>
    <col min="10498" max="10498" width="0" style="1" hidden="1" customWidth="1"/>
    <col min="10499" max="10499" width="9.5703125" style="1" customWidth="1"/>
    <col min="10500" max="10500" width="10.7109375" style="1" customWidth="1"/>
    <col min="10501" max="10502" width="10.28515625" style="1" customWidth="1"/>
    <col min="10503" max="10503" width="0" style="1" hidden="1" customWidth="1"/>
    <col min="10504" max="10504" width="10.7109375" style="1" customWidth="1"/>
    <col min="10505" max="10505" width="10.85546875" style="1" customWidth="1"/>
    <col min="10506" max="10506" width="11.28515625" style="1" customWidth="1"/>
    <col min="10507" max="10508" width="11.5703125" style="1" customWidth="1"/>
    <col min="10509" max="10509" width="10.7109375" style="1" customWidth="1"/>
    <col min="10510" max="10510" width="10.5703125" style="1" customWidth="1"/>
    <col min="10511" max="10511" width="10.7109375" style="1" customWidth="1"/>
    <col min="10512" max="10512" width="15" style="1" customWidth="1"/>
    <col min="10513" max="10751" width="9.140625" style="1"/>
    <col min="10752" max="10752" width="28.42578125" style="1" customWidth="1"/>
    <col min="10753" max="10753" width="10.5703125" style="1" customWidth="1"/>
    <col min="10754" max="10754" width="0" style="1" hidden="1" customWidth="1"/>
    <col min="10755" max="10755" width="9.5703125" style="1" customWidth="1"/>
    <col min="10756" max="10756" width="10.7109375" style="1" customWidth="1"/>
    <col min="10757" max="10758" width="10.28515625" style="1" customWidth="1"/>
    <col min="10759" max="10759" width="0" style="1" hidden="1" customWidth="1"/>
    <col min="10760" max="10760" width="10.7109375" style="1" customWidth="1"/>
    <col min="10761" max="10761" width="10.85546875" style="1" customWidth="1"/>
    <col min="10762" max="10762" width="11.28515625" style="1" customWidth="1"/>
    <col min="10763" max="10764" width="11.5703125" style="1" customWidth="1"/>
    <col min="10765" max="10765" width="10.7109375" style="1" customWidth="1"/>
    <col min="10766" max="10766" width="10.5703125" style="1" customWidth="1"/>
    <col min="10767" max="10767" width="10.7109375" style="1" customWidth="1"/>
    <col min="10768" max="10768" width="15" style="1" customWidth="1"/>
    <col min="10769" max="11007" width="9.140625" style="1"/>
    <col min="11008" max="11008" width="28.42578125" style="1" customWidth="1"/>
    <col min="11009" max="11009" width="10.5703125" style="1" customWidth="1"/>
    <col min="11010" max="11010" width="0" style="1" hidden="1" customWidth="1"/>
    <col min="11011" max="11011" width="9.5703125" style="1" customWidth="1"/>
    <col min="11012" max="11012" width="10.7109375" style="1" customWidth="1"/>
    <col min="11013" max="11014" width="10.28515625" style="1" customWidth="1"/>
    <col min="11015" max="11015" width="0" style="1" hidden="1" customWidth="1"/>
    <col min="11016" max="11016" width="10.7109375" style="1" customWidth="1"/>
    <col min="11017" max="11017" width="10.85546875" style="1" customWidth="1"/>
    <col min="11018" max="11018" width="11.28515625" style="1" customWidth="1"/>
    <col min="11019" max="11020" width="11.5703125" style="1" customWidth="1"/>
    <col min="11021" max="11021" width="10.7109375" style="1" customWidth="1"/>
    <col min="11022" max="11022" width="10.5703125" style="1" customWidth="1"/>
    <col min="11023" max="11023" width="10.7109375" style="1" customWidth="1"/>
    <col min="11024" max="11024" width="15" style="1" customWidth="1"/>
    <col min="11025" max="11263" width="9.140625" style="1"/>
    <col min="11264" max="11264" width="28.42578125" style="1" customWidth="1"/>
    <col min="11265" max="11265" width="10.5703125" style="1" customWidth="1"/>
    <col min="11266" max="11266" width="0" style="1" hidden="1" customWidth="1"/>
    <col min="11267" max="11267" width="9.5703125" style="1" customWidth="1"/>
    <col min="11268" max="11268" width="10.7109375" style="1" customWidth="1"/>
    <col min="11269" max="11270" width="10.28515625" style="1" customWidth="1"/>
    <col min="11271" max="11271" width="0" style="1" hidden="1" customWidth="1"/>
    <col min="11272" max="11272" width="10.7109375" style="1" customWidth="1"/>
    <col min="11273" max="11273" width="10.85546875" style="1" customWidth="1"/>
    <col min="11274" max="11274" width="11.28515625" style="1" customWidth="1"/>
    <col min="11275" max="11276" width="11.5703125" style="1" customWidth="1"/>
    <col min="11277" max="11277" width="10.7109375" style="1" customWidth="1"/>
    <col min="11278" max="11278" width="10.5703125" style="1" customWidth="1"/>
    <col min="11279" max="11279" width="10.7109375" style="1" customWidth="1"/>
    <col min="11280" max="11280" width="15" style="1" customWidth="1"/>
    <col min="11281" max="11519" width="9.140625" style="1"/>
    <col min="11520" max="11520" width="28.42578125" style="1" customWidth="1"/>
    <col min="11521" max="11521" width="10.5703125" style="1" customWidth="1"/>
    <col min="11522" max="11522" width="0" style="1" hidden="1" customWidth="1"/>
    <col min="11523" max="11523" width="9.5703125" style="1" customWidth="1"/>
    <col min="11524" max="11524" width="10.7109375" style="1" customWidth="1"/>
    <col min="11525" max="11526" width="10.28515625" style="1" customWidth="1"/>
    <col min="11527" max="11527" width="0" style="1" hidden="1" customWidth="1"/>
    <col min="11528" max="11528" width="10.7109375" style="1" customWidth="1"/>
    <col min="11529" max="11529" width="10.85546875" style="1" customWidth="1"/>
    <col min="11530" max="11530" width="11.28515625" style="1" customWidth="1"/>
    <col min="11531" max="11532" width="11.5703125" style="1" customWidth="1"/>
    <col min="11533" max="11533" width="10.7109375" style="1" customWidth="1"/>
    <col min="11534" max="11534" width="10.5703125" style="1" customWidth="1"/>
    <col min="11535" max="11535" width="10.7109375" style="1" customWidth="1"/>
    <col min="11536" max="11536" width="15" style="1" customWidth="1"/>
    <col min="11537" max="11775" width="9.140625" style="1"/>
    <col min="11776" max="11776" width="28.42578125" style="1" customWidth="1"/>
    <col min="11777" max="11777" width="10.5703125" style="1" customWidth="1"/>
    <col min="11778" max="11778" width="0" style="1" hidden="1" customWidth="1"/>
    <col min="11779" max="11779" width="9.5703125" style="1" customWidth="1"/>
    <col min="11780" max="11780" width="10.7109375" style="1" customWidth="1"/>
    <col min="11781" max="11782" width="10.28515625" style="1" customWidth="1"/>
    <col min="11783" max="11783" width="0" style="1" hidden="1" customWidth="1"/>
    <col min="11784" max="11784" width="10.7109375" style="1" customWidth="1"/>
    <col min="11785" max="11785" width="10.85546875" style="1" customWidth="1"/>
    <col min="11786" max="11786" width="11.28515625" style="1" customWidth="1"/>
    <col min="11787" max="11788" width="11.5703125" style="1" customWidth="1"/>
    <col min="11789" max="11789" width="10.7109375" style="1" customWidth="1"/>
    <col min="11790" max="11790" width="10.5703125" style="1" customWidth="1"/>
    <col min="11791" max="11791" width="10.7109375" style="1" customWidth="1"/>
    <col min="11792" max="11792" width="15" style="1" customWidth="1"/>
    <col min="11793" max="12031" width="9.140625" style="1"/>
    <col min="12032" max="12032" width="28.42578125" style="1" customWidth="1"/>
    <col min="12033" max="12033" width="10.5703125" style="1" customWidth="1"/>
    <col min="12034" max="12034" width="0" style="1" hidden="1" customWidth="1"/>
    <col min="12035" max="12035" width="9.5703125" style="1" customWidth="1"/>
    <col min="12036" max="12036" width="10.7109375" style="1" customWidth="1"/>
    <col min="12037" max="12038" width="10.28515625" style="1" customWidth="1"/>
    <col min="12039" max="12039" width="0" style="1" hidden="1" customWidth="1"/>
    <col min="12040" max="12040" width="10.7109375" style="1" customWidth="1"/>
    <col min="12041" max="12041" width="10.85546875" style="1" customWidth="1"/>
    <col min="12042" max="12042" width="11.28515625" style="1" customWidth="1"/>
    <col min="12043" max="12044" width="11.5703125" style="1" customWidth="1"/>
    <col min="12045" max="12045" width="10.7109375" style="1" customWidth="1"/>
    <col min="12046" max="12046" width="10.5703125" style="1" customWidth="1"/>
    <col min="12047" max="12047" width="10.7109375" style="1" customWidth="1"/>
    <col min="12048" max="12048" width="15" style="1" customWidth="1"/>
    <col min="12049" max="12287" width="9.140625" style="1"/>
    <col min="12288" max="12288" width="28.42578125" style="1" customWidth="1"/>
    <col min="12289" max="12289" width="10.5703125" style="1" customWidth="1"/>
    <col min="12290" max="12290" width="0" style="1" hidden="1" customWidth="1"/>
    <col min="12291" max="12291" width="9.5703125" style="1" customWidth="1"/>
    <col min="12292" max="12292" width="10.7109375" style="1" customWidth="1"/>
    <col min="12293" max="12294" width="10.28515625" style="1" customWidth="1"/>
    <col min="12295" max="12295" width="0" style="1" hidden="1" customWidth="1"/>
    <col min="12296" max="12296" width="10.7109375" style="1" customWidth="1"/>
    <col min="12297" max="12297" width="10.85546875" style="1" customWidth="1"/>
    <col min="12298" max="12298" width="11.28515625" style="1" customWidth="1"/>
    <col min="12299" max="12300" width="11.5703125" style="1" customWidth="1"/>
    <col min="12301" max="12301" width="10.7109375" style="1" customWidth="1"/>
    <col min="12302" max="12302" width="10.5703125" style="1" customWidth="1"/>
    <col min="12303" max="12303" width="10.7109375" style="1" customWidth="1"/>
    <col min="12304" max="12304" width="15" style="1" customWidth="1"/>
    <col min="12305" max="12543" width="9.140625" style="1"/>
    <col min="12544" max="12544" width="28.42578125" style="1" customWidth="1"/>
    <col min="12545" max="12545" width="10.5703125" style="1" customWidth="1"/>
    <col min="12546" max="12546" width="0" style="1" hidden="1" customWidth="1"/>
    <col min="12547" max="12547" width="9.5703125" style="1" customWidth="1"/>
    <col min="12548" max="12548" width="10.7109375" style="1" customWidth="1"/>
    <col min="12549" max="12550" width="10.28515625" style="1" customWidth="1"/>
    <col min="12551" max="12551" width="0" style="1" hidden="1" customWidth="1"/>
    <col min="12552" max="12552" width="10.7109375" style="1" customWidth="1"/>
    <col min="12553" max="12553" width="10.85546875" style="1" customWidth="1"/>
    <col min="12554" max="12554" width="11.28515625" style="1" customWidth="1"/>
    <col min="12555" max="12556" width="11.5703125" style="1" customWidth="1"/>
    <col min="12557" max="12557" width="10.7109375" style="1" customWidth="1"/>
    <col min="12558" max="12558" width="10.5703125" style="1" customWidth="1"/>
    <col min="12559" max="12559" width="10.7109375" style="1" customWidth="1"/>
    <col min="12560" max="12560" width="15" style="1" customWidth="1"/>
    <col min="12561" max="12799" width="9.140625" style="1"/>
    <col min="12800" max="12800" width="28.42578125" style="1" customWidth="1"/>
    <col min="12801" max="12801" width="10.5703125" style="1" customWidth="1"/>
    <col min="12802" max="12802" width="0" style="1" hidden="1" customWidth="1"/>
    <col min="12803" max="12803" width="9.5703125" style="1" customWidth="1"/>
    <col min="12804" max="12804" width="10.7109375" style="1" customWidth="1"/>
    <col min="12805" max="12806" width="10.28515625" style="1" customWidth="1"/>
    <col min="12807" max="12807" width="0" style="1" hidden="1" customWidth="1"/>
    <col min="12808" max="12808" width="10.7109375" style="1" customWidth="1"/>
    <col min="12809" max="12809" width="10.85546875" style="1" customWidth="1"/>
    <col min="12810" max="12810" width="11.28515625" style="1" customWidth="1"/>
    <col min="12811" max="12812" width="11.5703125" style="1" customWidth="1"/>
    <col min="12813" max="12813" width="10.7109375" style="1" customWidth="1"/>
    <col min="12814" max="12814" width="10.5703125" style="1" customWidth="1"/>
    <col min="12815" max="12815" width="10.7109375" style="1" customWidth="1"/>
    <col min="12816" max="12816" width="15" style="1" customWidth="1"/>
    <col min="12817" max="13055" width="9.140625" style="1"/>
    <col min="13056" max="13056" width="28.42578125" style="1" customWidth="1"/>
    <col min="13057" max="13057" width="10.5703125" style="1" customWidth="1"/>
    <col min="13058" max="13058" width="0" style="1" hidden="1" customWidth="1"/>
    <col min="13059" max="13059" width="9.5703125" style="1" customWidth="1"/>
    <col min="13060" max="13060" width="10.7109375" style="1" customWidth="1"/>
    <col min="13061" max="13062" width="10.28515625" style="1" customWidth="1"/>
    <col min="13063" max="13063" width="0" style="1" hidden="1" customWidth="1"/>
    <col min="13064" max="13064" width="10.7109375" style="1" customWidth="1"/>
    <col min="13065" max="13065" width="10.85546875" style="1" customWidth="1"/>
    <col min="13066" max="13066" width="11.28515625" style="1" customWidth="1"/>
    <col min="13067" max="13068" width="11.5703125" style="1" customWidth="1"/>
    <col min="13069" max="13069" width="10.7109375" style="1" customWidth="1"/>
    <col min="13070" max="13070" width="10.5703125" style="1" customWidth="1"/>
    <col min="13071" max="13071" width="10.7109375" style="1" customWidth="1"/>
    <col min="13072" max="13072" width="15" style="1" customWidth="1"/>
    <col min="13073" max="13311" width="9.140625" style="1"/>
    <col min="13312" max="13312" width="28.42578125" style="1" customWidth="1"/>
    <col min="13313" max="13313" width="10.5703125" style="1" customWidth="1"/>
    <col min="13314" max="13314" width="0" style="1" hidden="1" customWidth="1"/>
    <col min="13315" max="13315" width="9.5703125" style="1" customWidth="1"/>
    <col min="13316" max="13316" width="10.7109375" style="1" customWidth="1"/>
    <col min="13317" max="13318" width="10.28515625" style="1" customWidth="1"/>
    <col min="13319" max="13319" width="0" style="1" hidden="1" customWidth="1"/>
    <col min="13320" max="13320" width="10.7109375" style="1" customWidth="1"/>
    <col min="13321" max="13321" width="10.85546875" style="1" customWidth="1"/>
    <col min="13322" max="13322" width="11.28515625" style="1" customWidth="1"/>
    <col min="13323" max="13324" width="11.5703125" style="1" customWidth="1"/>
    <col min="13325" max="13325" width="10.7109375" style="1" customWidth="1"/>
    <col min="13326" max="13326" width="10.5703125" style="1" customWidth="1"/>
    <col min="13327" max="13327" width="10.7109375" style="1" customWidth="1"/>
    <col min="13328" max="13328" width="15" style="1" customWidth="1"/>
    <col min="13329" max="13567" width="9.140625" style="1"/>
    <col min="13568" max="13568" width="28.42578125" style="1" customWidth="1"/>
    <col min="13569" max="13569" width="10.5703125" style="1" customWidth="1"/>
    <col min="13570" max="13570" width="0" style="1" hidden="1" customWidth="1"/>
    <col min="13571" max="13571" width="9.5703125" style="1" customWidth="1"/>
    <col min="13572" max="13572" width="10.7109375" style="1" customWidth="1"/>
    <col min="13573" max="13574" width="10.28515625" style="1" customWidth="1"/>
    <col min="13575" max="13575" width="0" style="1" hidden="1" customWidth="1"/>
    <col min="13576" max="13576" width="10.7109375" style="1" customWidth="1"/>
    <col min="13577" max="13577" width="10.85546875" style="1" customWidth="1"/>
    <col min="13578" max="13578" width="11.28515625" style="1" customWidth="1"/>
    <col min="13579" max="13580" width="11.5703125" style="1" customWidth="1"/>
    <col min="13581" max="13581" width="10.7109375" style="1" customWidth="1"/>
    <col min="13582" max="13582" width="10.5703125" style="1" customWidth="1"/>
    <col min="13583" max="13583" width="10.7109375" style="1" customWidth="1"/>
    <col min="13584" max="13584" width="15" style="1" customWidth="1"/>
    <col min="13585" max="13823" width="9.140625" style="1"/>
    <col min="13824" max="13824" width="28.42578125" style="1" customWidth="1"/>
    <col min="13825" max="13825" width="10.5703125" style="1" customWidth="1"/>
    <col min="13826" max="13826" width="0" style="1" hidden="1" customWidth="1"/>
    <col min="13827" max="13827" width="9.5703125" style="1" customWidth="1"/>
    <col min="13828" max="13828" width="10.7109375" style="1" customWidth="1"/>
    <col min="13829" max="13830" width="10.28515625" style="1" customWidth="1"/>
    <col min="13831" max="13831" width="0" style="1" hidden="1" customWidth="1"/>
    <col min="13832" max="13832" width="10.7109375" style="1" customWidth="1"/>
    <col min="13833" max="13833" width="10.85546875" style="1" customWidth="1"/>
    <col min="13834" max="13834" width="11.28515625" style="1" customWidth="1"/>
    <col min="13835" max="13836" width="11.5703125" style="1" customWidth="1"/>
    <col min="13837" max="13837" width="10.7109375" style="1" customWidth="1"/>
    <col min="13838" max="13838" width="10.5703125" style="1" customWidth="1"/>
    <col min="13839" max="13839" width="10.7109375" style="1" customWidth="1"/>
    <col min="13840" max="13840" width="15" style="1" customWidth="1"/>
    <col min="13841" max="14079" width="9.140625" style="1"/>
    <col min="14080" max="14080" width="28.42578125" style="1" customWidth="1"/>
    <col min="14081" max="14081" width="10.5703125" style="1" customWidth="1"/>
    <col min="14082" max="14082" width="0" style="1" hidden="1" customWidth="1"/>
    <col min="14083" max="14083" width="9.5703125" style="1" customWidth="1"/>
    <col min="14084" max="14084" width="10.7109375" style="1" customWidth="1"/>
    <col min="14085" max="14086" width="10.28515625" style="1" customWidth="1"/>
    <col min="14087" max="14087" width="0" style="1" hidden="1" customWidth="1"/>
    <col min="14088" max="14088" width="10.7109375" style="1" customWidth="1"/>
    <col min="14089" max="14089" width="10.85546875" style="1" customWidth="1"/>
    <col min="14090" max="14090" width="11.28515625" style="1" customWidth="1"/>
    <col min="14091" max="14092" width="11.5703125" style="1" customWidth="1"/>
    <col min="14093" max="14093" width="10.7109375" style="1" customWidth="1"/>
    <col min="14094" max="14094" width="10.5703125" style="1" customWidth="1"/>
    <col min="14095" max="14095" width="10.7109375" style="1" customWidth="1"/>
    <col min="14096" max="14096" width="15" style="1" customWidth="1"/>
    <col min="14097" max="14335" width="9.140625" style="1"/>
    <col min="14336" max="14336" width="28.42578125" style="1" customWidth="1"/>
    <col min="14337" max="14337" width="10.5703125" style="1" customWidth="1"/>
    <col min="14338" max="14338" width="0" style="1" hidden="1" customWidth="1"/>
    <col min="14339" max="14339" width="9.5703125" style="1" customWidth="1"/>
    <col min="14340" max="14340" width="10.7109375" style="1" customWidth="1"/>
    <col min="14341" max="14342" width="10.28515625" style="1" customWidth="1"/>
    <col min="14343" max="14343" width="0" style="1" hidden="1" customWidth="1"/>
    <col min="14344" max="14344" width="10.7109375" style="1" customWidth="1"/>
    <col min="14345" max="14345" width="10.85546875" style="1" customWidth="1"/>
    <col min="14346" max="14346" width="11.28515625" style="1" customWidth="1"/>
    <col min="14347" max="14348" width="11.5703125" style="1" customWidth="1"/>
    <col min="14349" max="14349" width="10.7109375" style="1" customWidth="1"/>
    <col min="14350" max="14350" width="10.5703125" style="1" customWidth="1"/>
    <col min="14351" max="14351" width="10.7109375" style="1" customWidth="1"/>
    <col min="14352" max="14352" width="15" style="1" customWidth="1"/>
    <col min="14353" max="14591" width="9.140625" style="1"/>
    <col min="14592" max="14592" width="28.42578125" style="1" customWidth="1"/>
    <col min="14593" max="14593" width="10.5703125" style="1" customWidth="1"/>
    <col min="14594" max="14594" width="0" style="1" hidden="1" customWidth="1"/>
    <col min="14595" max="14595" width="9.5703125" style="1" customWidth="1"/>
    <col min="14596" max="14596" width="10.7109375" style="1" customWidth="1"/>
    <col min="14597" max="14598" width="10.28515625" style="1" customWidth="1"/>
    <col min="14599" max="14599" width="0" style="1" hidden="1" customWidth="1"/>
    <col min="14600" max="14600" width="10.7109375" style="1" customWidth="1"/>
    <col min="14601" max="14601" width="10.85546875" style="1" customWidth="1"/>
    <col min="14602" max="14602" width="11.28515625" style="1" customWidth="1"/>
    <col min="14603" max="14604" width="11.5703125" style="1" customWidth="1"/>
    <col min="14605" max="14605" width="10.7109375" style="1" customWidth="1"/>
    <col min="14606" max="14606" width="10.5703125" style="1" customWidth="1"/>
    <col min="14607" max="14607" width="10.7109375" style="1" customWidth="1"/>
    <col min="14608" max="14608" width="15" style="1" customWidth="1"/>
    <col min="14609" max="14847" width="9.140625" style="1"/>
    <col min="14848" max="14848" width="28.42578125" style="1" customWidth="1"/>
    <col min="14849" max="14849" width="10.5703125" style="1" customWidth="1"/>
    <col min="14850" max="14850" width="0" style="1" hidden="1" customWidth="1"/>
    <col min="14851" max="14851" width="9.5703125" style="1" customWidth="1"/>
    <col min="14852" max="14852" width="10.7109375" style="1" customWidth="1"/>
    <col min="14853" max="14854" width="10.28515625" style="1" customWidth="1"/>
    <col min="14855" max="14855" width="0" style="1" hidden="1" customWidth="1"/>
    <col min="14856" max="14856" width="10.7109375" style="1" customWidth="1"/>
    <col min="14857" max="14857" width="10.85546875" style="1" customWidth="1"/>
    <col min="14858" max="14858" width="11.28515625" style="1" customWidth="1"/>
    <col min="14859" max="14860" width="11.5703125" style="1" customWidth="1"/>
    <col min="14861" max="14861" width="10.7109375" style="1" customWidth="1"/>
    <col min="14862" max="14862" width="10.5703125" style="1" customWidth="1"/>
    <col min="14863" max="14863" width="10.7109375" style="1" customWidth="1"/>
    <col min="14864" max="14864" width="15" style="1" customWidth="1"/>
    <col min="14865" max="15103" width="9.140625" style="1"/>
    <col min="15104" max="15104" width="28.42578125" style="1" customWidth="1"/>
    <col min="15105" max="15105" width="10.5703125" style="1" customWidth="1"/>
    <col min="15106" max="15106" width="0" style="1" hidden="1" customWidth="1"/>
    <col min="15107" max="15107" width="9.5703125" style="1" customWidth="1"/>
    <col min="15108" max="15108" width="10.7109375" style="1" customWidth="1"/>
    <col min="15109" max="15110" width="10.28515625" style="1" customWidth="1"/>
    <col min="15111" max="15111" width="0" style="1" hidden="1" customWidth="1"/>
    <col min="15112" max="15112" width="10.7109375" style="1" customWidth="1"/>
    <col min="15113" max="15113" width="10.85546875" style="1" customWidth="1"/>
    <col min="15114" max="15114" width="11.28515625" style="1" customWidth="1"/>
    <col min="15115" max="15116" width="11.5703125" style="1" customWidth="1"/>
    <col min="15117" max="15117" width="10.7109375" style="1" customWidth="1"/>
    <col min="15118" max="15118" width="10.5703125" style="1" customWidth="1"/>
    <col min="15119" max="15119" width="10.7109375" style="1" customWidth="1"/>
    <col min="15120" max="15120" width="15" style="1" customWidth="1"/>
    <col min="15121" max="15359" width="9.140625" style="1"/>
    <col min="15360" max="15360" width="28.42578125" style="1" customWidth="1"/>
    <col min="15361" max="15361" width="10.5703125" style="1" customWidth="1"/>
    <col min="15362" max="15362" width="0" style="1" hidden="1" customWidth="1"/>
    <col min="15363" max="15363" width="9.5703125" style="1" customWidth="1"/>
    <col min="15364" max="15364" width="10.7109375" style="1" customWidth="1"/>
    <col min="15365" max="15366" width="10.28515625" style="1" customWidth="1"/>
    <col min="15367" max="15367" width="0" style="1" hidden="1" customWidth="1"/>
    <col min="15368" max="15368" width="10.7109375" style="1" customWidth="1"/>
    <col min="15369" max="15369" width="10.85546875" style="1" customWidth="1"/>
    <col min="15370" max="15370" width="11.28515625" style="1" customWidth="1"/>
    <col min="15371" max="15372" width="11.5703125" style="1" customWidth="1"/>
    <col min="15373" max="15373" width="10.7109375" style="1" customWidth="1"/>
    <col min="15374" max="15374" width="10.5703125" style="1" customWidth="1"/>
    <col min="15375" max="15375" width="10.7109375" style="1" customWidth="1"/>
    <col min="15376" max="15376" width="15" style="1" customWidth="1"/>
    <col min="15377" max="15615" width="9.140625" style="1"/>
    <col min="15616" max="15616" width="28.42578125" style="1" customWidth="1"/>
    <col min="15617" max="15617" width="10.5703125" style="1" customWidth="1"/>
    <col min="15618" max="15618" width="0" style="1" hidden="1" customWidth="1"/>
    <col min="15619" max="15619" width="9.5703125" style="1" customWidth="1"/>
    <col min="15620" max="15620" width="10.7109375" style="1" customWidth="1"/>
    <col min="15621" max="15622" width="10.28515625" style="1" customWidth="1"/>
    <col min="15623" max="15623" width="0" style="1" hidden="1" customWidth="1"/>
    <col min="15624" max="15624" width="10.7109375" style="1" customWidth="1"/>
    <col min="15625" max="15625" width="10.85546875" style="1" customWidth="1"/>
    <col min="15626" max="15626" width="11.28515625" style="1" customWidth="1"/>
    <col min="15627" max="15628" width="11.5703125" style="1" customWidth="1"/>
    <col min="15629" max="15629" width="10.7109375" style="1" customWidth="1"/>
    <col min="15630" max="15630" width="10.5703125" style="1" customWidth="1"/>
    <col min="15631" max="15631" width="10.7109375" style="1" customWidth="1"/>
    <col min="15632" max="15632" width="15" style="1" customWidth="1"/>
    <col min="15633" max="15871" width="9.140625" style="1"/>
    <col min="15872" max="15872" width="28.42578125" style="1" customWidth="1"/>
    <col min="15873" max="15873" width="10.5703125" style="1" customWidth="1"/>
    <col min="15874" max="15874" width="0" style="1" hidden="1" customWidth="1"/>
    <col min="15875" max="15875" width="9.5703125" style="1" customWidth="1"/>
    <col min="15876" max="15876" width="10.7109375" style="1" customWidth="1"/>
    <col min="15877" max="15878" width="10.28515625" style="1" customWidth="1"/>
    <col min="15879" max="15879" width="0" style="1" hidden="1" customWidth="1"/>
    <col min="15880" max="15880" width="10.7109375" style="1" customWidth="1"/>
    <col min="15881" max="15881" width="10.85546875" style="1" customWidth="1"/>
    <col min="15882" max="15882" width="11.28515625" style="1" customWidth="1"/>
    <col min="15883" max="15884" width="11.5703125" style="1" customWidth="1"/>
    <col min="15885" max="15885" width="10.7109375" style="1" customWidth="1"/>
    <col min="15886" max="15886" width="10.5703125" style="1" customWidth="1"/>
    <col min="15887" max="15887" width="10.7109375" style="1" customWidth="1"/>
    <col min="15888" max="15888" width="15" style="1" customWidth="1"/>
    <col min="15889" max="16127" width="9.140625" style="1"/>
    <col min="16128" max="16128" width="28.42578125" style="1" customWidth="1"/>
    <col min="16129" max="16129" width="10.5703125" style="1" customWidth="1"/>
    <col min="16130" max="16130" width="0" style="1" hidden="1" customWidth="1"/>
    <col min="16131" max="16131" width="9.5703125" style="1" customWidth="1"/>
    <col min="16132" max="16132" width="10.7109375" style="1" customWidth="1"/>
    <col min="16133" max="16134" width="10.28515625" style="1" customWidth="1"/>
    <col min="16135" max="16135" width="0" style="1" hidden="1" customWidth="1"/>
    <col min="16136" max="16136" width="10.7109375" style="1" customWidth="1"/>
    <col min="16137" max="16137" width="10.85546875" style="1" customWidth="1"/>
    <col min="16138" max="16138" width="11.28515625" style="1" customWidth="1"/>
    <col min="16139" max="16140" width="11.5703125" style="1" customWidth="1"/>
    <col min="16141" max="16141" width="10.7109375" style="1" customWidth="1"/>
    <col min="16142" max="16142" width="10.5703125" style="1" customWidth="1"/>
    <col min="16143" max="16143" width="10.7109375" style="1" customWidth="1"/>
    <col min="16144" max="16144" width="15" style="1" customWidth="1"/>
    <col min="16145" max="16384" width="9.140625" style="1"/>
  </cols>
  <sheetData>
    <row r="1" spans="1:16" ht="11.25" customHeight="1" x14ac:dyDescent="0.2"/>
    <row r="2" spans="1:16" ht="18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8" customHeight="1" x14ac:dyDescent="0.25">
      <c r="A3" s="179" t="s">
        <v>56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8" customHeight="1" x14ac:dyDescent="0.25">
      <c r="A4" s="2"/>
      <c r="B4" s="114"/>
      <c r="C4" s="73"/>
      <c r="D4" s="115"/>
      <c r="E4" s="115"/>
      <c r="F4" s="115"/>
      <c r="G4" s="115"/>
      <c r="H4" s="74"/>
      <c r="I4" s="115"/>
      <c r="J4" s="115"/>
      <c r="K4" s="115"/>
      <c r="L4" s="115"/>
      <c r="M4" s="115"/>
      <c r="N4" s="115"/>
      <c r="O4" s="115"/>
      <c r="P4" s="75" t="s">
        <v>37</v>
      </c>
    </row>
    <row r="5" spans="1:16" s="3" customFormat="1" ht="30.75" customHeight="1" x14ac:dyDescent="0.2">
      <c r="A5" s="90"/>
      <c r="B5" s="130" t="s">
        <v>53</v>
      </c>
      <c r="C5" s="131" t="s">
        <v>38</v>
      </c>
      <c r="D5" s="132" t="s">
        <v>39</v>
      </c>
      <c r="E5" s="132" t="s">
        <v>3</v>
      </c>
      <c r="F5" s="132" t="s">
        <v>4</v>
      </c>
      <c r="G5" s="132" t="s">
        <v>5</v>
      </c>
      <c r="H5" s="133" t="s">
        <v>6</v>
      </c>
      <c r="I5" s="134" t="s">
        <v>54</v>
      </c>
      <c r="J5" s="134" t="s">
        <v>55</v>
      </c>
      <c r="K5" s="132" t="s">
        <v>9</v>
      </c>
      <c r="L5" s="134" t="s">
        <v>42</v>
      </c>
      <c r="M5" s="132" t="s">
        <v>10</v>
      </c>
      <c r="N5" s="134" t="s">
        <v>11</v>
      </c>
      <c r="O5" s="134" t="s">
        <v>12</v>
      </c>
      <c r="P5" s="94" t="s">
        <v>13</v>
      </c>
    </row>
    <row r="6" spans="1:16" ht="18" customHeight="1" x14ac:dyDescent="0.2">
      <c r="A6" s="95" t="s">
        <v>14</v>
      </c>
      <c r="B6" s="135"/>
      <c r="C6" s="136"/>
      <c r="D6" s="136"/>
      <c r="E6" s="137"/>
      <c r="F6" s="136"/>
      <c r="G6" s="136"/>
      <c r="H6" s="136"/>
      <c r="I6" s="136"/>
      <c r="J6" s="136"/>
      <c r="K6" s="136"/>
      <c r="L6" s="136"/>
      <c r="M6" s="137"/>
      <c r="N6" s="136"/>
      <c r="O6" s="136"/>
      <c r="P6" s="79"/>
    </row>
    <row r="7" spans="1:16" ht="22.5" customHeight="1" x14ac:dyDescent="0.2">
      <c r="A7" s="96" t="s">
        <v>15</v>
      </c>
      <c r="B7" s="141">
        <v>223352.42499999999</v>
      </c>
      <c r="C7" s="138"/>
      <c r="D7" s="138">
        <v>47782.233</v>
      </c>
      <c r="E7" s="117">
        <v>161658.139</v>
      </c>
      <c r="F7" s="139">
        <v>49481.163999999997</v>
      </c>
      <c r="G7" s="138">
        <v>391438.70400000003</v>
      </c>
      <c r="H7" s="138">
        <v>206457.81099999999</v>
      </c>
      <c r="I7" s="139">
        <v>865529.84199999995</v>
      </c>
      <c r="J7" s="139">
        <v>1630418.5789999999</v>
      </c>
      <c r="K7" s="138">
        <v>338616.89899999998</v>
      </c>
      <c r="L7" s="139">
        <v>244422.75399999999</v>
      </c>
      <c r="M7" s="138">
        <v>632429.647</v>
      </c>
      <c r="N7" s="139">
        <v>166245.40162000002</v>
      </c>
      <c r="O7" s="139">
        <v>2071550.8840000001</v>
      </c>
      <c r="P7" s="81">
        <f>SUM(B7:O7)</f>
        <v>7029384.4826200008</v>
      </c>
    </row>
    <row r="8" spans="1:16" ht="22.5" customHeight="1" x14ac:dyDescent="0.2">
      <c r="A8" s="96" t="s">
        <v>16</v>
      </c>
      <c r="B8" s="141">
        <v>18892.504000000001</v>
      </c>
      <c r="C8" s="138"/>
      <c r="D8" s="138">
        <v>31272.144</v>
      </c>
      <c r="E8" s="117">
        <v>10018.475</v>
      </c>
      <c r="F8" s="139">
        <v>7141.8209999999999</v>
      </c>
      <c r="G8" s="138">
        <v>216229.21</v>
      </c>
      <c r="H8" s="138">
        <v>18754.3</v>
      </c>
      <c r="I8" s="139">
        <v>444513.49900000001</v>
      </c>
      <c r="J8" s="139">
        <v>348260.321</v>
      </c>
      <c r="K8" s="138">
        <v>60820.44</v>
      </c>
      <c r="L8" s="139">
        <v>15207.886</v>
      </c>
      <c r="M8" s="138">
        <v>331152.016</v>
      </c>
      <c r="N8" s="139">
        <v>39004.057220000002</v>
      </c>
      <c r="O8" s="139">
        <v>1125421.4550000001</v>
      </c>
      <c r="P8" s="81">
        <f>SUM(B8:O8)</f>
        <v>2666688.1282200003</v>
      </c>
    </row>
    <row r="9" spans="1:16" ht="22.5" customHeight="1" x14ac:dyDescent="0.2">
      <c r="A9" s="96" t="s">
        <v>17</v>
      </c>
      <c r="B9" s="138">
        <v>204459.921</v>
      </c>
      <c r="C9" s="138"/>
      <c r="D9" s="138">
        <v>16510.089</v>
      </c>
      <c r="E9" s="138">
        <v>151639.66399999999</v>
      </c>
      <c r="F9" s="138">
        <v>42339.343000000001</v>
      </c>
      <c r="G9" s="138">
        <v>175209.49400000001</v>
      </c>
      <c r="H9" s="138">
        <v>187703.511</v>
      </c>
      <c r="I9" s="138">
        <v>421016.34299999999</v>
      </c>
      <c r="J9" s="138">
        <v>1282158.2579999999</v>
      </c>
      <c r="K9" s="138">
        <v>277796.45899999997</v>
      </c>
      <c r="L9" s="138">
        <v>229214.86799999999</v>
      </c>
      <c r="M9" s="138">
        <v>301277.63099999999</v>
      </c>
      <c r="N9" s="138">
        <v>127241.3444</v>
      </c>
      <c r="O9" s="138">
        <v>946129.429</v>
      </c>
      <c r="P9" s="81">
        <f>SUM(B9:O9)</f>
        <v>4362696.3543999996</v>
      </c>
    </row>
    <row r="10" spans="1:16" ht="26.25" customHeight="1" x14ac:dyDescent="0.2">
      <c r="A10" s="97" t="s">
        <v>43</v>
      </c>
      <c r="B10" s="138">
        <v>16846.074000000001</v>
      </c>
      <c r="C10" s="138"/>
      <c r="D10" s="138">
        <v>2964.1469999999999</v>
      </c>
      <c r="E10" s="138">
        <v>12706.038</v>
      </c>
      <c r="F10" s="138">
        <v>-3414.1280000000002</v>
      </c>
      <c r="G10" s="138">
        <v>38440.315000000002</v>
      </c>
      <c r="H10" s="138">
        <v>9156.5540000000001</v>
      </c>
      <c r="I10" s="138">
        <v>22468.73</v>
      </c>
      <c r="J10" s="138">
        <v>12363.518</v>
      </c>
      <c r="K10" s="138">
        <v>-10919.599</v>
      </c>
      <c r="L10" s="138">
        <v>1177.3389999999999</v>
      </c>
      <c r="M10" s="138">
        <v>3081.3380000000002</v>
      </c>
      <c r="N10" s="138">
        <v>-23535.571899999999</v>
      </c>
      <c r="O10" s="138">
        <v>112.129</v>
      </c>
      <c r="P10" s="120">
        <f>SUM(B10:O10)</f>
        <v>81446.883099999992</v>
      </c>
    </row>
    <row r="11" spans="1:16" ht="22.5" customHeight="1" x14ac:dyDescent="0.2">
      <c r="A11" s="105" t="s">
        <v>18</v>
      </c>
      <c r="B11" s="138">
        <v>187613.84700000001</v>
      </c>
      <c r="C11" s="138"/>
      <c r="D11" s="138">
        <v>13545.941999999999</v>
      </c>
      <c r="E11" s="138">
        <v>138933.62599999999</v>
      </c>
      <c r="F11" s="138">
        <v>45753.470999999998</v>
      </c>
      <c r="G11" s="138">
        <v>136769.179</v>
      </c>
      <c r="H11" s="138">
        <v>178546.95699999999</v>
      </c>
      <c r="I11" s="138">
        <v>398547.61300000001</v>
      </c>
      <c r="J11" s="138">
        <v>1269794.74</v>
      </c>
      <c r="K11" s="138">
        <v>288716.05800000002</v>
      </c>
      <c r="L11" s="138">
        <v>228037.52900000001</v>
      </c>
      <c r="M11" s="138">
        <v>298196.29300000001</v>
      </c>
      <c r="N11" s="138">
        <v>150776.91630000001</v>
      </c>
      <c r="O11" s="138">
        <v>946017.3</v>
      </c>
      <c r="P11" s="81">
        <f>SUM(B11:O11)</f>
        <v>4281249.4713000003</v>
      </c>
    </row>
    <row r="12" spans="1:16" ht="18" customHeight="1" x14ac:dyDescent="0.2">
      <c r="A12" s="101" t="s">
        <v>19</v>
      </c>
      <c r="B12" s="142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81"/>
    </row>
    <row r="13" spans="1:16" ht="22.5" customHeight="1" x14ac:dyDescent="0.2">
      <c r="A13" s="96" t="s">
        <v>20</v>
      </c>
      <c r="B13" s="141">
        <v>189881.22200000001</v>
      </c>
      <c r="C13" s="138"/>
      <c r="D13" s="138">
        <v>28107.058000000001</v>
      </c>
      <c r="E13" s="117">
        <v>85638.391000000003</v>
      </c>
      <c r="F13" s="139">
        <v>38646.177000000003</v>
      </c>
      <c r="G13" s="138">
        <v>251576.00399999999</v>
      </c>
      <c r="H13" s="138">
        <v>91649.409</v>
      </c>
      <c r="I13" s="139">
        <v>253894.59700000001</v>
      </c>
      <c r="J13" s="139">
        <v>877334.326</v>
      </c>
      <c r="K13" s="138">
        <v>451964.99900000001</v>
      </c>
      <c r="L13" s="139">
        <v>153124.09099999999</v>
      </c>
      <c r="M13" s="138">
        <v>280955.75799999997</v>
      </c>
      <c r="N13" s="139">
        <v>206944.24077</v>
      </c>
      <c r="O13" s="139">
        <v>1233411.4979999999</v>
      </c>
      <c r="P13" s="81">
        <f>SUM(B13:O13)</f>
        <v>4143127.7707699994</v>
      </c>
    </row>
    <row r="14" spans="1:16" ht="22.5" customHeight="1" x14ac:dyDescent="0.2">
      <c r="A14" s="96" t="s">
        <v>16</v>
      </c>
      <c r="B14" s="141">
        <v>18628.748</v>
      </c>
      <c r="C14" s="138"/>
      <c r="D14" s="138">
        <v>17602.848999999998</v>
      </c>
      <c r="E14" s="117">
        <v>16360.346</v>
      </c>
      <c r="F14" s="139">
        <v>8361.6389999999992</v>
      </c>
      <c r="G14" s="138">
        <v>152514.891</v>
      </c>
      <c r="H14" s="138">
        <v>3896.6559999999999</v>
      </c>
      <c r="I14" s="139">
        <v>61575.917999999998</v>
      </c>
      <c r="J14" s="139">
        <v>165539.96400000001</v>
      </c>
      <c r="K14" s="138">
        <v>286864.48300000001</v>
      </c>
      <c r="L14" s="139">
        <v>32063.388999999999</v>
      </c>
      <c r="M14" s="138">
        <v>150629.429</v>
      </c>
      <c r="N14" s="139">
        <v>144893.29192000002</v>
      </c>
      <c r="O14" s="139">
        <v>716392.44700000004</v>
      </c>
      <c r="P14" s="81">
        <f>SUM(B14:O14)</f>
        <v>1775324.0509199998</v>
      </c>
    </row>
    <row r="15" spans="1:16" ht="22.5" customHeight="1" x14ac:dyDescent="0.2">
      <c r="A15" s="96" t="s">
        <v>21</v>
      </c>
      <c r="B15" s="138">
        <v>171252.47399999999</v>
      </c>
      <c r="C15" s="138"/>
      <c r="D15" s="138">
        <v>10504.209000000001</v>
      </c>
      <c r="E15" s="138">
        <v>69278.044999999998</v>
      </c>
      <c r="F15" s="138">
        <v>30284.538</v>
      </c>
      <c r="G15" s="138">
        <v>99061.112999999998</v>
      </c>
      <c r="H15" s="138">
        <v>87752.752999999997</v>
      </c>
      <c r="I15" s="138">
        <v>192318.679</v>
      </c>
      <c r="J15" s="138">
        <v>711794.36</v>
      </c>
      <c r="K15" s="138">
        <v>165100.51699999999</v>
      </c>
      <c r="L15" s="138">
        <v>121060.702</v>
      </c>
      <c r="M15" s="138">
        <v>130326.329</v>
      </c>
      <c r="N15" s="138">
        <v>62050.948849999993</v>
      </c>
      <c r="O15" s="138">
        <v>517019.05099999998</v>
      </c>
      <c r="P15" s="81">
        <f>SUM(B15:O15)</f>
        <v>2367803.7188499998</v>
      </c>
    </row>
    <row r="16" spans="1:16" ht="27.75" customHeight="1" x14ac:dyDescent="0.2">
      <c r="A16" s="97" t="s">
        <v>44</v>
      </c>
      <c r="B16" s="141">
        <v>6175.8459999999995</v>
      </c>
      <c r="C16" s="138"/>
      <c r="D16" s="138">
        <v>2226.5639999999999</v>
      </c>
      <c r="E16" s="117">
        <v>1002</v>
      </c>
      <c r="F16" s="138">
        <v>-6649.4960000000001</v>
      </c>
      <c r="G16" s="138">
        <v>11648.429</v>
      </c>
      <c r="H16" s="138">
        <v>4005.0619999999999</v>
      </c>
      <c r="I16" s="138">
        <v>37668.286</v>
      </c>
      <c r="J16" s="138">
        <v>7542.2560000000003</v>
      </c>
      <c r="K16" s="138">
        <v>14933.525</v>
      </c>
      <c r="L16" s="138">
        <v>10331.674999999999</v>
      </c>
      <c r="M16" s="138">
        <v>28561.724999999999</v>
      </c>
      <c r="N16" s="138">
        <v>28558.128139999986</v>
      </c>
      <c r="O16" s="139">
        <v>43149.777000000002</v>
      </c>
      <c r="P16" s="81">
        <f>SUM(B16:O16)</f>
        <v>189153.77713999999</v>
      </c>
    </row>
    <row r="17" spans="1:16" ht="22.5" customHeight="1" x14ac:dyDescent="0.2">
      <c r="A17" s="105" t="s">
        <v>22</v>
      </c>
      <c r="B17" s="138">
        <v>177428.32</v>
      </c>
      <c r="C17" s="138"/>
      <c r="D17" s="138">
        <v>12730.772999999999</v>
      </c>
      <c r="E17" s="138">
        <v>70280.044999999998</v>
      </c>
      <c r="F17" s="138">
        <v>23635.042000000001</v>
      </c>
      <c r="G17" s="138">
        <v>110709.542</v>
      </c>
      <c r="H17" s="138">
        <v>91757.815000000002</v>
      </c>
      <c r="I17" s="138">
        <v>229986.965</v>
      </c>
      <c r="J17" s="138">
        <v>719336.61699999997</v>
      </c>
      <c r="K17" s="138">
        <v>180034.04199999999</v>
      </c>
      <c r="L17" s="138">
        <v>131392.37700000001</v>
      </c>
      <c r="M17" s="138">
        <v>158888.054</v>
      </c>
      <c r="N17" s="138">
        <v>90609.071990000011</v>
      </c>
      <c r="O17" s="138">
        <v>560168.82799999998</v>
      </c>
      <c r="P17" s="81">
        <f>SUM(B17:O17)</f>
        <v>2556957.49199</v>
      </c>
    </row>
    <row r="18" spans="1:16" ht="18" customHeight="1" x14ac:dyDescent="0.2">
      <c r="A18" s="101" t="s">
        <v>23</v>
      </c>
      <c r="B18" s="142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81"/>
    </row>
    <row r="19" spans="1:16" ht="22.5" customHeight="1" x14ac:dyDescent="0.2">
      <c r="A19" s="96" t="s">
        <v>24</v>
      </c>
      <c r="B19" s="141">
        <v>27625.598999999998</v>
      </c>
      <c r="C19" s="138"/>
      <c r="D19" s="138">
        <v>11041.406000000001</v>
      </c>
      <c r="E19" s="117">
        <v>1524.316</v>
      </c>
      <c r="F19" s="139">
        <v>675.71199999999999</v>
      </c>
      <c r="G19" s="138">
        <v>59654.963000000003</v>
      </c>
      <c r="H19" s="138">
        <v>3188.1970000000001</v>
      </c>
      <c r="I19" s="139">
        <v>64766.084999999999</v>
      </c>
      <c r="J19" s="139">
        <v>74332.362999999998</v>
      </c>
      <c r="K19" s="138">
        <v>5410.143</v>
      </c>
      <c r="L19" s="139">
        <v>3377.723</v>
      </c>
      <c r="M19" s="138">
        <v>48156.02</v>
      </c>
      <c r="N19" s="139">
        <v>8170.6480700000002</v>
      </c>
      <c r="O19" s="139">
        <v>239077.728</v>
      </c>
      <c r="P19" s="81">
        <f t="shared" ref="P19:P25" si="0">SUM(B19:O19)</f>
        <v>547000.90307</v>
      </c>
    </row>
    <row r="20" spans="1:16" ht="22.5" customHeight="1" x14ac:dyDescent="0.2">
      <c r="A20" s="97" t="s">
        <v>25</v>
      </c>
      <c r="B20" s="141">
        <v>6813.1610000000001</v>
      </c>
      <c r="C20" s="138"/>
      <c r="D20" s="138">
        <v>419.36799999999999</v>
      </c>
      <c r="E20" s="117">
        <v>8178.5209999999997</v>
      </c>
      <c r="F20" s="139">
        <v>5529.5079999999998</v>
      </c>
      <c r="G20" s="138">
        <v>40276.773000000001</v>
      </c>
      <c r="H20" s="138">
        <v>21394.441999999999</v>
      </c>
      <c r="I20" s="139">
        <v>84613.244999999995</v>
      </c>
      <c r="J20" s="139">
        <v>118517.314</v>
      </c>
      <c r="K20" s="138">
        <v>46354.385000000002</v>
      </c>
      <c r="L20" s="139">
        <v>24283.661</v>
      </c>
      <c r="M20" s="138">
        <v>31415.148000000001</v>
      </c>
      <c r="N20" s="139">
        <v>16485.757990000002</v>
      </c>
      <c r="O20" s="139">
        <v>179240.49</v>
      </c>
      <c r="P20" s="81">
        <f t="shared" si="0"/>
        <v>583521.77399000002</v>
      </c>
    </row>
    <row r="21" spans="1:16" ht="22.5" customHeight="1" x14ac:dyDescent="0.2">
      <c r="A21" s="105" t="s">
        <v>26</v>
      </c>
      <c r="B21" s="138">
        <v>20812.437999999998</v>
      </c>
      <c r="C21" s="138"/>
      <c r="D21" s="138">
        <v>10622.038</v>
      </c>
      <c r="E21" s="138">
        <v>-6654.2049999999999</v>
      </c>
      <c r="F21" s="138">
        <v>-4853.7960000000003</v>
      </c>
      <c r="G21" s="138">
        <v>19378.189999999999</v>
      </c>
      <c r="H21" s="138">
        <v>-18206.244999999999</v>
      </c>
      <c r="I21" s="138">
        <v>-19847.16</v>
      </c>
      <c r="J21" s="138">
        <v>-44184.951000000001</v>
      </c>
      <c r="K21" s="138">
        <v>-40944.241999999998</v>
      </c>
      <c r="L21" s="138">
        <v>-20905.937999999998</v>
      </c>
      <c r="M21" s="138">
        <v>16740.871999999999</v>
      </c>
      <c r="N21" s="138">
        <v>-8315.1099200000008</v>
      </c>
      <c r="O21" s="138">
        <v>59837.237999999998</v>
      </c>
      <c r="P21" s="120">
        <f t="shared" si="0"/>
        <v>-36520.870920000001</v>
      </c>
    </row>
    <row r="22" spans="1:16" ht="18" customHeight="1" x14ac:dyDescent="0.2">
      <c r="A22" s="112" t="s">
        <v>27</v>
      </c>
      <c r="B22" s="141">
        <v>23276.271000000001</v>
      </c>
      <c r="C22" s="138"/>
      <c r="D22" s="138">
        <v>14386.951999999999</v>
      </c>
      <c r="E22" s="117">
        <v>38809.108999999997</v>
      </c>
      <c r="F22" s="138">
        <v>14790.628000000001</v>
      </c>
      <c r="G22" s="138">
        <v>45084.08</v>
      </c>
      <c r="H22" s="138">
        <v>46397.41</v>
      </c>
      <c r="I22" s="138">
        <v>98668.388000000006</v>
      </c>
      <c r="J22" s="138">
        <v>308098.17499999999</v>
      </c>
      <c r="K22" s="138">
        <v>38552.692000000003</v>
      </c>
      <c r="L22" s="138">
        <v>64152.555999999997</v>
      </c>
      <c r="M22" s="138">
        <v>105618.864</v>
      </c>
      <c r="N22" s="138">
        <v>51674.691200000001</v>
      </c>
      <c r="O22" s="139">
        <v>334953.26299999998</v>
      </c>
      <c r="P22" s="81">
        <f t="shared" si="0"/>
        <v>1184463.0792</v>
      </c>
    </row>
    <row r="23" spans="1:16" ht="25.5" customHeight="1" x14ac:dyDescent="0.2">
      <c r="A23" s="112" t="s">
        <v>28</v>
      </c>
      <c r="B23" s="138">
        <v>7721.6940000000004</v>
      </c>
      <c r="C23" s="138"/>
      <c r="D23" s="138">
        <v>-2949.7449999999999</v>
      </c>
      <c r="E23" s="138">
        <v>23190.267</v>
      </c>
      <c r="F23" s="138">
        <v>2474.0050000000001</v>
      </c>
      <c r="G23" s="138">
        <v>353.74700000000001</v>
      </c>
      <c r="H23" s="138">
        <v>22185.487000000001</v>
      </c>
      <c r="I23" s="138">
        <v>50045.1</v>
      </c>
      <c r="J23" s="138">
        <v>198174.99600000001</v>
      </c>
      <c r="K23" s="138">
        <v>29185.079000000002</v>
      </c>
      <c r="L23" s="138">
        <v>11586.657999999999</v>
      </c>
      <c r="M23" s="138">
        <v>50430.247000000003</v>
      </c>
      <c r="N23" s="138">
        <v>178.04319000001439</v>
      </c>
      <c r="O23" s="138">
        <v>110732.447</v>
      </c>
      <c r="P23" s="120">
        <f t="shared" si="0"/>
        <v>503308.02519000001</v>
      </c>
    </row>
    <row r="24" spans="1:16" ht="17.25" customHeight="1" x14ac:dyDescent="0.2">
      <c r="A24" s="112" t="s">
        <v>29</v>
      </c>
      <c r="B24" s="141">
        <v>5553.6890000000003</v>
      </c>
      <c r="C24" s="138"/>
      <c r="D24" s="138">
        <v>2640.3220000000001</v>
      </c>
      <c r="E24" s="117">
        <v>19387.288</v>
      </c>
      <c r="F24" s="138">
        <v>12399.040999999999</v>
      </c>
      <c r="G24" s="138">
        <v>1276.799</v>
      </c>
      <c r="H24" s="138">
        <v>9850.1039999999994</v>
      </c>
      <c r="I24" s="138">
        <v>38032.190999999999</v>
      </c>
      <c r="J24" s="138">
        <v>61325.040999999997</v>
      </c>
      <c r="K24" s="138">
        <v>41325.910000000003</v>
      </c>
      <c r="L24" s="138">
        <v>4473.5259999999998</v>
      </c>
      <c r="M24" s="138">
        <v>32322.968000000001</v>
      </c>
      <c r="N24" s="138">
        <v>22950.135999999999</v>
      </c>
      <c r="O24" s="139">
        <v>133136.72099999999</v>
      </c>
      <c r="P24" s="81">
        <f t="shared" si="0"/>
        <v>384673.73599999998</v>
      </c>
    </row>
    <row r="25" spans="1:16" ht="45" customHeight="1" x14ac:dyDescent="0.2">
      <c r="A25" s="112" t="s">
        <v>30</v>
      </c>
      <c r="B25" s="140">
        <v>13275.383</v>
      </c>
      <c r="C25" s="140"/>
      <c r="D25" s="140">
        <v>-309.423</v>
      </c>
      <c r="E25" s="140">
        <v>42577.555</v>
      </c>
      <c r="F25" s="140">
        <v>14873.045</v>
      </c>
      <c r="G25" s="140">
        <v>1630.5460000000005</v>
      </c>
      <c r="H25" s="140">
        <v>32035.591</v>
      </c>
      <c r="I25" s="140">
        <v>88077.290999999997</v>
      </c>
      <c r="J25" s="140">
        <v>259500.038</v>
      </c>
      <c r="K25" s="140">
        <v>70510.987999999998</v>
      </c>
      <c r="L25" s="140">
        <v>16060.183999999999</v>
      </c>
      <c r="M25" s="140">
        <v>82753.214999999997</v>
      </c>
      <c r="N25" s="140">
        <v>23128.179190000013</v>
      </c>
      <c r="O25" s="140">
        <v>243869.16800000001</v>
      </c>
      <c r="P25" s="123">
        <f t="shared" si="0"/>
        <v>887981.76019000006</v>
      </c>
    </row>
    <row r="26" spans="1:16" ht="16.5" customHeight="1" x14ac:dyDescent="0.2">
      <c r="A26" s="85"/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6"/>
    </row>
    <row r="27" spans="1:16" ht="16.5" customHeight="1" x14ac:dyDescent="0.2">
      <c r="A27" s="154" t="s">
        <v>85</v>
      </c>
    </row>
    <row r="28" spans="1:16" ht="16.5" customHeight="1" x14ac:dyDescent="0.2"/>
  </sheetData>
  <mergeCells count="2">
    <mergeCell ref="A2:P2"/>
    <mergeCell ref="A3:P3"/>
  </mergeCells>
  <printOptions horizontalCentered="1"/>
  <pageMargins left="0.5" right="0.5" top="0.36" bottom="0.36" header="0.25" footer="0.25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28"/>
  <sheetViews>
    <sheetView showGridLines="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A27" sqref="A27"/>
    </sheetView>
  </sheetViews>
  <sheetFormatPr defaultRowHeight="12.75" x14ac:dyDescent="0.2"/>
  <cols>
    <col min="1" max="1" width="28.42578125" style="1" customWidth="1"/>
    <col min="2" max="2" width="10.5703125" style="23" customWidth="1"/>
    <col min="3" max="3" width="1.7109375" style="23" hidden="1" customWidth="1"/>
    <col min="4" max="4" width="9.5703125" style="23" customWidth="1"/>
    <col min="5" max="5" width="10.7109375" style="23" customWidth="1"/>
    <col min="6" max="7" width="10.28515625" style="23" customWidth="1"/>
    <col min="8" max="8" width="2" style="23" hidden="1" customWidth="1"/>
    <col min="9" max="9" width="10.7109375" style="23" customWidth="1"/>
    <col min="10" max="10" width="10.85546875" style="23" customWidth="1"/>
    <col min="11" max="11" width="11.28515625" style="23" customWidth="1"/>
    <col min="12" max="13" width="11.5703125" style="70" customWidth="1"/>
    <col min="14" max="14" width="10.7109375" style="23" customWidth="1"/>
    <col min="15" max="15" width="10.5703125" style="23" customWidth="1"/>
    <col min="16" max="16" width="10.7109375" style="23" customWidth="1"/>
    <col min="17" max="17" width="15" style="71" customWidth="1"/>
    <col min="18" max="256" width="9.140625" style="1"/>
    <col min="257" max="257" width="28.42578125" style="1" customWidth="1"/>
    <col min="258" max="258" width="10.5703125" style="1" customWidth="1"/>
    <col min="259" max="259" width="0" style="1" hidden="1" customWidth="1"/>
    <col min="260" max="260" width="9.5703125" style="1" customWidth="1"/>
    <col min="261" max="261" width="10.7109375" style="1" customWidth="1"/>
    <col min="262" max="263" width="10.28515625" style="1" customWidth="1"/>
    <col min="264" max="264" width="0" style="1" hidden="1" customWidth="1"/>
    <col min="265" max="265" width="10.7109375" style="1" customWidth="1"/>
    <col min="266" max="266" width="10.85546875" style="1" customWidth="1"/>
    <col min="267" max="267" width="11.28515625" style="1" customWidth="1"/>
    <col min="268" max="269" width="11.5703125" style="1" customWidth="1"/>
    <col min="270" max="270" width="10.7109375" style="1" customWidth="1"/>
    <col min="271" max="271" width="10.5703125" style="1" customWidth="1"/>
    <col min="272" max="272" width="10.7109375" style="1" customWidth="1"/>
    <col min="273" max="273" width="15" style="1" customWidth="1"/>
    <col min="274" max="512" width="9.140625" style="1"/>
    <col min="513" max="513" width="28.42578125" style="1" customWidth="1"/>
    <col min="514" max="514" width="10.5703125" style="1" customWidth="1"/>
    <col min="515" max="515" width="0" style="1" hidden="1" customWidth="1"/>
    <col min="516" max="516" width="9.5703125" style="1" customWidth="1"/>
    <col min="517" max="517" width="10.7109375" style="1" customWidth="1"/>
    <col min="518" max="519" width="10.28515625" style="1" customWidth="1"/>
    <col min="520" max="520" width="0" style="1" hidden="1" customWidth="1"/>
    <col min="521" max="521" width="10.7109375" style="1" customWidth="1"/>
    <col min="522" max="522" width="10.85546875" style="1" customWidth="1"/>
    <col min="523" max="523" width="11.28515625" style="1" customWidth="1"/>
    <col min="524" max="525" width="11.5703125" style="1" customWidth="1"/>
    <col min="526" max="526" width="10.7109375" style="1" customWidth="1"/>
    <col min="527" max="527" width="10.5703125" style="1" customWidth="1"/>
    <col min="528" max="528" width="10.7109375" style="1" customWidth="1"/>
    <col min="529" max="529" width="15" style="1" customWidth="1"/>
    <col min="530" max="768" width="9.140625" style="1"/>
    <col min="769" max="769" width="28.42578125" style="1" customWidth="1"/>
    <col min="770" max="770" width="10.5703125" style="1" customWidth="1"/>
    <col min="771" max="771" width="0" style="1" hidden="1" customWidth="1"/>
    <col min="772" max="772" width="9.5703125" style="1" customWidth="1"/>
    <col min="773" max="773" width="10.7109375" style="1" customWidth="1"/>
    <col min="774" max="775" width="10.28515625" style="1" customWidth="1"/>
    <col min="776" max="776" width="0" style="1" hidden="1" customWidth="1"/>
    <col min="777" max="777" width="10.7109375" style="1" customWidth="1"/>
    <col min="778" max="778" width="10.85546875" style="1" customWidth="1"/>
    <col min="779" max="779" width="11.28515625" style="1" customWidth="1"/>
    <col min="780" max="781" width="11.5703125" style="1" customWidth="1"/>
    <col min="782" max="782" width="10.7109375" style="1" customWidth="1"/>
    <col min="783" max="783" width="10.5703125" style="1" customWidth="1"/>
    <col min="784" max="784" width="10.7109375" style="1" customWidth="1"/>
    <col min="785" max="785" width="15" style="1" customWidth="1"/>
    <col min="786" max="1024" width="9.140625" style="1"/>
    <col min="1025" max="1025" width="28.42578125" style="1" customWidth="1"/>
    <col min="1026" max="1026" width="10.5703125" style="1" customWidth="1"/>
    <col min="1027" max="1027" width="0" style="1" hidden="1" customWidth="1"/>
    <col min="1028" max="1028" width="9.5703125" style="1" customWidth="1"/>
    <col min="1029" max="1029" width="10.7109375" style="1" customWidth="1"/>
    <col min="1030" max="1031" width="10.28515625" style="1" customWidth="1"/>
    <col min="1032" max="1032" width="0" style="1" hidden="1" customWidth="1"/>
    <col min="1033" max="1033" width="10.7109375" style="1" customWidth="1"/>
    <col min="1034" max="1034" width="10.85546875" style="1" customWidth="1"/>
    <col min="1035" max="1035" width="11.28515625" style="1" customWidth="1"/>
    <col min="1036" max="1037" width="11.5703125" style="1" customWidth="1"/>
    <col min="1038" max="1038" width="10.7109375" style="1" customWidth="1"/>
    <col min="1039" max="1039" width="10.5703125" style="1" customWidth="1"/>
    <col min="1040" max="1040" width="10.7109375" style="1" customWidth="1"/>
    <col min="1041" max="1041" width="15" style="1" customWidth="1"/>
    <col min="1042" max="1280" width="9.140625" style="1"/>
    <col min="1281" max="1281" width="28.42578125" style="1" customWidth="1"/>
    <col min="1282" max="1282" width="10.5703125" style="1" customWidth="1"/>
    <col min="1283" max="1283" width="0" style="1" hidden="1" customWidth="1"/>
    <col min="1284" max="1284" width="9.5703125" style="1" customWidth="1"/>
    <col min="1285" max="1285" width="10.7109375" style="1" customWidth="1"/>
    <col min="1286" max="1287" width="10.28515625" style="1" customWidth="1"/>
    <col min="1288" max="1288" width="0" style="1" hidden="1" customWidth="1"/>
    <col min="1289" max="1289" width="10.7109375" style="1" customWidth="1"/>
    <col min="1290" max="1290" width="10.85546875" style="1" customWidth="1"/>
    <col min="1291" max="1291" width="11.28515625" style="1" customWidth="1"/>
    <col min="1292" max="1293" width="11.5703125" style="1" customWidth="1"/>
    <col min="1294" max="1294" width="10.7109375" style="1" customWidth="1"/>
    <col min="1295" max="1295" width="10.5703125" style="1" customWidth="1"/>
    <col min="1296" max="1296" width="10.7109375" style="1" customWidth="1"/>
    <col min="1297" max="1297" width="15" style="1" customWidth="1"/>
    <col min="1298" max="1536" width="9.140625" style="1"/>
    <col min="1537" max="1537" width="28.42578125" style="1" customWidth="1"/>
    <col min="1538" max="1538" width="10.5703125" style="1" customWidth="1"/>
    <col min="1539" max="1539" width="0" style="1" hidden="1" customWidth="1"/>
    <col min="1540" max="1540" width="9.5703125" style="1" customWidth="1"/>
    <col min="1541" max="1541" width="10.7109375" style="1" customWidth="1"/>
    <col min="1542" max="1543" width="10.28515625" style="1" customWidth="1"/>
    <col min="1544" max="1544" width="0" style="1" hidden="1" customWidth="1"/>
    <col min="1545" max="1545" width="10.7109375" style="1" customWidth="1"/>
    <col min="1546" max="1546" width="10.85546875" style="1" customWidth="1"/>
    <col min="1547" max="1547" width="11.28515625" style="1" customWidth="1"/>
    <col min="1548" max="1549" width="11.5703125" style="1" customWidth="1"/>
    <col min="1550" max="1550" width="10.7109375" style="1" customWidth="1"/>
    <col min="1551" max="1551" width="10.5703125" style="1" customWidth="1"/>
    <col min="1552" max="1552" width="10.7109375" style="1" customWidth="1"/>
    <col min="1553" max="1553" width="15" style="1" customWidth="1"/>
    <col min="1554" max="1792" width="9.140625" style="1"/>
    <col min="1793" max="1793" width="28.42578125" style="1" customWidth="1"/>
    <col min="1794" max="1794" width="10.5703125" style="1" customWidth="1"/>
    <col min="1795" max="1795" width="0" style="1" hidden="1" customWidth="1"/>
    <col min="1796" max="1796" width="9.5703125" style="1" customWidth="1"/>
    <col min="1797" max="1797" width="10.7109375" style="1" customWidth="1"/>
    <col min="1798" max="1799" width="10.28515625" style="1" customWidth="1"/>
    <col min="1800" max="1800" width="0" style="1" hidden="1" customWidth="1"/>
    <col min="1801" max="1801" width="10.7109375" style="1" customWidth="1"/>
    <col min="1802" max="1802" width="10.85546875" style="1" customWidth="1"/>
    <col min="1803" max="1803" width="11.28515625" style="1" customWidth="1"/>
    <col min="1804" max="1805" width="11.5703125" style="1" customWidth="1"/>
    <col min="1806" max="1806" width="10.7109375" style="1" customWidth="1"/>
    <col min="1807" max="1807" width="10.5703125" style="1" customWidth="1"/>
    <col min="1808" max="1808" width="10.7109375" style="1" customWidth="1"/>
    <col min="1809" max="1809" width="15" style="1" customWidth="1"/>
    <col min="1810" max="2048" width="9.140625" style="1"/>
    <col min="2049" max="2049" width="28.42578125" style="1" customWidth="1"/>
    <col min="2050" max="2050" width="10.5703125" style="1" customWidth="1"/>
    <col min="2051" max="2051" width="0" style="1" hidden="1" customWidth="1"/>
    <col min="2052" max="2052" width="9.5703125" style="1" customWidth="1"/>
    <col min="2053" max="2053" width="10.7109375" style="1" customWidth="1"/>
    <col min="2054" max="2055" width="10.28515625" style="1" customWidth="1"/>
    <col min="2056" max="2056" width="0" style="1" hidden="1" customWidth="1"/>
    <col min="2057" max="2057" width="10.7109375" style="1" customWidth="1"/>
    <col min="2058" max="2058" width="10.85546875" style="1" customWidth="1"/>
    <col min="2059" max="2059" width="11.28515625" style="1" customWidth="1"/>
    <col min="2060" max="2061" width="11.5703125" style="1" customWidth="1"/>
    <col min="2062" max="2062" width="10.7109375" style="1" customWidth="1"/>
    <col min="2063" max="2063" width="10.5703125" style="1" customWidth="1"/>
    <col min="2064" max="2064" width="10.7109375" style="1" customWidth="1"/>
    <col min="2065" max="2065" width="15" style="1" customWidth="1"/>
    <col min="2066" max="2304" width="9.140625" style="1"/>
    <col min="2305" max="2305" width="28.42578125" style="1" customWidth="1"/>
    <col min="2306" max="2306" width="10.5703125" style="1" customWidth="1"/>
    <col min="2307" max="2307" width="0" style="1" hidden="1" customWidth="1"/>
    <col min="2308" max="2308" width="9.5703125" style="1" customWidth="1"/>
    <col min="2309" max="2309" width="10.7109375" style="1" customWidth="1"/>
    <col min="2310" max="2311" width="10.28515625" style="1" customWidth="1"/>
    <col min="2312" max="2312" width="0" style="1" hidden="1" customWidth="1"/>
    <col min="2313" max="2313" width="10.7109375" style="1" customWidth="1"/>
    <col min="2314" max="2314" width="10.85546875" style="1" customWidth="1"/>
    <col min="2315" max="2315" width="11.28515625" style="1" customWidth="1"/>
    <col min="2316" max="2317" width="11.5703125" style="1" customWidth="1"/>
    <col min="2318" max="2318" width="10.7109375" style="1" customWidth="1"/>
    <col min="2319" max="2319" width="10.5703125" style="1" customWidth="1"/>
    <col min="2320" max="2320" width="10.7109375" style="1" customWidth="1"/>
    <col min="2321" max="2321" width="15" style="1" customWidth="1"/>
    <col min="2322" max="2560" width="9.140625" style="1"/>
    <col min="2561" max="2561" width="28.42578125" style="1" customWidth="1"/>
    <col min="2562" max="2562" width="10.5703125" style="1" customWidth="1"/>
    <col min="2563" max="2563" width="0" style="1" hidden="1" customWidth="1"/>
    <col min="2564" max="2564" width="9.5703125" style="1" customWidth="1"/>
    <col min="2565" max="2565" width="10.7109375" style="1" customWidth="1"/>
    <col min="2566" max="2567" width="10.28515625" style="1" customWidth="1"/>
    <col min="2568" max="2568" width="0" style="1" hidden="1" customWidth="1"/>
    <col min="2569" max="2569" width="10.7109375" style="1" customWidth="1"/>
    <col min="2570" max="2570" width="10.85546875" style="1" customWidth="1"/>
    <col min="2571" max="2571" width="11.28515625" style="1" customWidth="1"/>
    <col min="2572" max="2573" width="11.5703125" style="1" customWidth="1"/>
    <col min="2574" max="2574" width="10.7109375" style="1" customWidth="1"/>
    <col min="2575" max="2575" width="10.5703125" style="1" customWidth="1"/>
    <col min="2576" max="2576" width="10.7109375" style="1" customWidth="1"/>
    <col min="2577" max="2577" width="15" style="1" customWidth="1"/>
    <col min="2578" max="2816" width="9.140625" style="1"/>
    <col min="2817" max="2817" width="28.42578125" style="1" customWidth="1"/>
    <col min="2818" max="2818" width="10.5703125" style="1" customWidth="1"/>
    <col min="2819" max="2819" width="0" style="1" hidden="1" customWidth="1"/>
    <col min="2820" max="2820" width="9.5703125" style="1" customWidth="1"/>
    <col min="2821" max="2821" width="10.7109375" style="1" customWidth="1"/>
    <col min="2822" max="2823" width="10.28515625" style="1" customWidth="1"/>
    <col min="2824" max="2824" width="0" style="1" hidden="1" customWidth="1"/>
    <col min="2825" max="2825" width="10.7109375" style="1" customWidth="1"/>
    <col min="2826" max="2826" width="10.85546875" style="1" customWidth="1"/>
    <col min="2827" max="2827" width="11.28515625" style="1" customWidth="1"/>
    <col min="2828" max="2829" width="11.5703125" style="1" customWidth="1"/>
    <col min="2830" max="2830" width="10.7109375" style="1" customWidth="1"/>
    <col min="2831" max="2831" width="10.5703125" style="1" customWidth="1"/>
    <col min="2832" max="2832" width="10.7109375" style="1" customWidth="1"/>
    <col min="2833" max="2833" width="15" style="1" customWidth="1"/>
    <col min="2834" max="3072" width="9.140625" style="1"/>
    <col min="3073" max="3073" width="28.42578125" style="1" customWidth="1"/>
    <col min="3074" max="3074" width="10.5703125" style="1" customWidth="1"/>
    <col min="3075" max="3075" width="0" style="1" hidden="1" customWidth="1"/>
    <col min="3076" max="3076" width="9.5703125" style="1" customWidth="1"/>
    <col min="3077" max="3077" width="10.7109375" style="1" customWidth="1"/>
    <col min="3078" max="3079" width="10.28515625" style="1" customWidth="1"/>
    <col min="3080" max="3080" width="0" style="1" hidden="1" customWidth="1"/>
    <col min="3081" max="3081" width="10.7109375" style="1" customWidth="1"/>
    <col min="3082" max="3082" width="10.85546875" style="1" customWidth="1"/>
    <col min="3083" max="3083" width="11.28515625" style="1" customWidth="1"/>
    <col min="3084" max="3085" width="11.5703125" style="1" customWidth="1"/>
    <col min="3086" max="3086" width="10.7109375" style="1" customWidth="1"/>
    <col min="3087" max="3087" width="10.5703125" style="1" customWidth="1"/>
    <col min="3088" max="3088" width="10.7109375" style="1" customWidth="1"/>
    <col min="3089" max="3089" width="15" style="1" customWidth="1"/>
    <col min="3090" max="3328" width="9.140625" style="1"/>
    <col min="3329" max="3329" width="28.42578125" style="1" customWidth="1"/>
    <col min="3330" max="3330" width="10.5703125" style="1" customWidth="1"/>
    <col min="3331" max="3331" width="0" style="1" hidden="1" customWidth="1"/>
    <col min="3332" max="3332" width="9.5703125" style="1" customWidth="1"/>
    <col min="3333" max="3333" width="10.7109375" style="1" customWidth="1"/>
    <col min="3334" max="3335" width="10.28515625" style="1" customWidth="1"/>
    <col min="3336" max="3336" width="0" style="1" hidden="1" customWidth="1"/>
    <col min="3337" max="3337" width="10.7109375" style="1" customWidth="1"/>
    <col min="3338" max="3338" width="10.85546875" style="1" customWidth="1"/>
    <col min="3339" max="3339" width="11.28515625" style="1" customWidth="1"/>
    <col min="3340" max="3341" width="11.5703125" style="1" customWidth="1"/>
    <col min="3342" max="3342" width="10.7109375" style="1" customWidth="1"/>
    <col min="3343" max="3343" width="10.5703125" style="1" customWidth="1"/>
    <col min="3344" max="3344" width="10.7109375" style="1" customWidth="1"/>
    <col min="3345" max="3345" width="15" style="1" customWidth="1"/>
    <col min="3346" max="3584" width="9.140625" style="1"/>
    <col min="3585" max="3585" width="28.42578125" style="1" customWidth="1"/>
    <col min="3586" max="3586" width="10.5703125" style="1" customWidth="1"/>
    <col min="3587" max="3587" width="0" style="1" hidden="1" customWidth="1"/>
    <col min="3588" max="3588" width="9.5703125" style="1" customWidth="1"/>
    <col min="3589" max="3589" width="10.7109375" style="1" customWidth="1"/>
    <col min="3590" max="3591" width="10.28515625" style="1" customWidth="1"/>
    <col min="3592" max="3592" width="0" style="1" hidden="1" customWidth="1"/>
    <col min="3593" max="3593" width="10.7109375" style="1" customWidth="1"/>
    <col min="3594" max="3594" width="10.85546875" style="1" customWidth="1"/>
    <col min="3595" max="3595" width="11.28515625" style="1" customWidth="1"/>
    <col min="3596" max="3597" width="11.5703125" style="1" customWidth="1"/>
    <col min="3598" max="3598" width="10.7109375" style="1" customWidth="1"/>
    <col min="3599" max="3599" width="10.5703125" style="1" customWidth="1"/>
    <col min="3600" max="3600" width="10.7109375" style="1" customWidth="1"/>
    <col min="3601" max="3601" width="15" style="1" customWidth="1"/>
    <col min="3602" max="3840" width="9.140625" style="1"/>
    <col min="3841" max="3841" width="28.42578125" style="1" customWidth="1"/>
    <col min="3842" max="3842" width="10.5703125" style="1" customWidth="1"/>
    <col min="3843" max="3843" width="0" style="1" hidden="1" customWidth="1"/>
    <col min="3844" max="3844" width="9.5703125" style="1" customWidth="1"/>
    <col min="3845" max="3845" width="10.7109375" style="1" customWidth="1"/>
    <col min="3846" max="3847" width="10.28515625" style="1" customWidth="1"/>
    <col min="3848" max="3848" width="0" style="1" hidden="1" customWidth="1"/>
    <col min="3849" max="3849" width="10.7109375" style="1" customWidth="1"/>
    <col min="3850" max="3850" width="10.85546875" style="1" customWidth="1"/>
    <col min="3851" max="3851" width="11.28515625" style="1" customWidth="1"/>
    <col min="3852" max="3853" width="11.5703125" style="1" customWidth="1"/>
    <col min="3854" max="3854" width="10.7109375" style="1" customWidth="1"/>
    <col min="3855" max="3855" width="10.5703125" style="1" customWidth="1"/>
    <col min="3856" max="3856" width="10.7109375" style="1" customWidth="1"/>
    <col min="3857" max="3857" width="15" style="1" customWidth="1"/>
    <col min="3858" max="4096" width="9.140625" style="1"/>
    <col min="4097" max="4097" width="28.42578125" style="1" customWidth="1"/>
    <col min="4098" max="4098" width="10.5703125" style="1" customWidth="1"/>
    <col min="4099" max="4099" width="0" style="1" hidden="1" customWidth="1"/>
    <col min="4100" max="4100" width="9.5703125" style="1" customWidth="1"/>
    <col min="4101" max="4101" width="10.7109375" style="1" customWidth="1"/>
    <col min="4102" max="4103" width="10.28515625" style="1" customWidth="1"/>
    <col min="4104" max="4104" width="0" style="1" hidden="1" customWidth="1"/>
    <col min="4105" max="4105" width="10.7109375" style="1" customWidth="1"/>
    <col min="4106" max="4106" width="10.85546875" style="1" customWidth="1"/>
    <col min="4107" max="4107" width="11.28515625" style="1" customWidth="1"/>
    <col min="4108" max="4109" width="11.5703125" style="1" customWidth="1"/>
    <col min="4110" max="4110" width="10.7109375" style="1" customWidth="1"/>
    <col min="4111" max="4111" width="10.5703125" style="1" customWidth="1"/>
    <col min="4112" max="4112" width="10.7109375" style="1" customWidth="1"/>
    <col min="4113" max="4113" width="15" style="1" customWidth="1"/>
    <col min="4114" max="4352" width="9.140625" style="1"/>
    <col min="4353" max="4353" width="28.42578125" style="1" customWidth="1"/>
    <col min="4354" max="4354" width="10.5703125" style="1" customWidth="1"/>
    <col min="4355" max="4355" width="0" style="1" hidden="1" customWidth="1"/>
    <col min="4356" max="4356" width="9.5703125" style="1" customWidth="1"/>
    <col min="4357" max="4357" width="10.7109375" style="1" customWidth="1"/>
    <col min="4358" max="4359" width="10.28515625" style="1" customWidth="1"/>
    <col min="4360" max="4360" width="0" style="1" hidden="1" customWidth="1"/>
    <col min="4361" max="4361" width="10.7109375" style="1" customWidth="1"/>
    <col min="4362" max="4362" width="10.85546875" style="1" customWidth="1"/>
    <col min="4363" max="4363" width="11.28515625" style="1" customWidth="1"/>
    <col min="4364" max="4365" width="11.5703125" style="1" customWidth="1"/>
    <col min="4366" max="4366" width="10.7109375" style="1" customWidth="1"/>
    <col min="4367" max="4367" width="10.5703125" style="1" customWidth="1"/>
    <col min="4368" max="4368" width="10.7109375" style="1" customWidth="1"/>
    <col min="4369" max="4369" width="15" style="1" customWidth="1"/>
    <col min="4370" max="4608" width="9.140625" style="1"/>
    <col min="4609" max="4609" width="28.42578125" style="1" customWidth="1"/>
    <col min="4610" max="4610" width="10.5703125" style="1" customWidth="1"/>
    <col min="4611" max="4611" width="0" style="1" hidden="1" customWidth="1"/>
    <col min="4612" max="4612" width="9.5703125" style="1" customWidth="1"/>
    <col min="4613" max="4613" width="10.7109375" style="1" customWidth="1"/>
    <col min="4614" max="4615" width="10.28515625" style="1" customWidth="1"/>
    <col min="4616" max="4616" width="0" style="1" hidden="1" customWidth="1"/>
    <col min="4617" max="4617" width="10.7109375" style="1" customWidth="1"/>
    <col min="4618" max="4618" width="10.85546875" style="1" customWidth="1"/>
    <col min="4619" max="4619" width="11.28515625" style="1" customWidth="1"/>
    <col min="4620" max="4621" width="11.5703125" style="1" customWidth="1"/>
    <col min="4622" max="4622" width="10.7109375" style="1" customWidth="1"/>
    <col min="4623" max="4623" width="10.5703125" style="1" customWidth="1"/>
    <col min="4624" max="4624" width="10.7109375" style="1" customWidth="1"/>
    <col min="4625" max="4625" width="15" style="1" customWidth="1"/>
    <col min="4626" max="4864" width="9.140625" style="1"/>
    <col min="4865" max="4865" width="28.42578125" style="1" customWidth="1"/>
    <col min="4866" max="4866" width="10.5703125" style="1" customWidth="1"/>
    <col min="4867" max="4867" width="0" style="1" hidden="1" customWidth="1"/>
    <col min="4868" max="4868" width="9.5703125" style="1" customWidth="1"/>
    <col min="4869" max="4869" width="10.7109375" style="1" customWidth="1"/>
    <col min="4870" max="4871" width="10.28515625" style="1" customWidth="1"/>
    <col min="4872" max="4872" width="0" style="1" hidden="1" customWidth="1"/>
    <col min="4873" max="4873" width="10.7109375" style="1" customWidth="1"/>
    <col min="4874" max="4874" width="10.85546875" style="1" customWidth="1"/>
    <col min="4875" max="4875" width="11.28515625" style="1" customWidth="1"/>
    <col min="4876" max="4877" width="11.5703125" style="1" customWidth="1"/>
    <col min="4878" max="4878" width="10.7109375" style="1" customWidth="1"/>
    <col min="4879" max="4879" width="10.5703125" style="1" customWidth="1"/>
    <col min="4880" max="4880" width="10.7109375" style="1" customWidth="1"/>
    <col min="4881" max="4881" width="15" style="1" customWidth="1"/>
    <col min="4882" max="5120" width="9.140625" style="1"/>
    <col min="5121" max="5121" width="28.42578125" style="1" customWidth="1"/>
    <col min="5122" max="5122" width="10.5703125" style="1" customWidth="1"/>
    <col min="5123" max="5123" width="0" style="1" hidden="1" customWidth="1"/>
    <col min="5124" max="5124" width="9.5703125" style="1" customWidth="1"/>
    <col min="5125" max="5125" width="10.7109375" style="1" customWidth="1"/>
    <col min="5126" max="5127" width="10.28515625" style="1" customWidth="1"/>
    <col min="5128" max="5128" width="0" style="1" hidden="1" customWidth="1"/>
    <col min="5129" max="5129" width="10.7109375" style="1" customWidth="1"/>
    <col min="5130" max="5130" width="10.85546875" style="1" customWidth="1"/>
    <col min="5131" max="5131" width="11.28515625" style="1" customWidth="1"/>
    <col min="5132" max="5133" width="11.5703125" style="1" customWidth="1"/>
    <col min="5134" max="5134" width="10.7109375" style="1" customWidth="1"/>
    <col min="5135" max="5135" width="10.5703125" style="1" customWidth="1"/>
    <col min="5136" max="5136" width="10.7109375" style="1" customWidth="1"/>
    <col min="5137" max="5137" width="15" style="1" customWidth="1"/>
    <col min="5138" max="5376" width="9.140625" style="1"/>
    <col min="5377" max="5377" width="28.42578125" style="1" customWidth="1"/>
    <col min="5378" max="5378" width="10.5703125" style="1" customWidth="1"/>
    <col min="5379" max="5379" width="0" style="1" hidden="1" customWidth="1"/>
    <col min="5380" max="5380" width="9.5703125" style="1" customWidth="1"/>
    <col min="5381" max="5381" width="10.7109375" style="1" customWidth="1"/>
    <col min="5382" max="5383" width="10.28515625" style="1" customWidth="1"/>
    <col min="5384" max="5384" width="0" style="1" hidden="1" customWidth="1"/>
    <col min="5385" max="5385" width="10.7109375" style="1" customWidth="1"/>
    <col min="5386" max="5386" width="10.85546875" style="1" customWidth="1"/>
    <col min="5387" max="5387" width="11.28515625" style="1" customWidth="1"/>
    <col min="5388" max="5389" width="11.5703125" style="1" customWidth="1"/>
    <col min="5390" max="5390" width="10.7109375" style="1" customWidth="1"/>
    <col min="5391" max="5391" width="10.5703125" style="1" customWidth="1"/>
    <col min="5392" max="5392" width="10.7109375" style="1" customWidth="1"/>
    <col min="5393" max="5393" width="15" style="1" customWidth="1"/>
    <col min="5394" max="5632" width="9.140625" style="1"/>
    <col min="5633" max="5633" width="28.42578125" style="1" customWidth="1"/>
    <col min="5634" max="5634" width="10.5703125" style="1" customWidth="1"/>
    <col min="5635" max="5635" width="0" style="1" hidden="1" customWidth="1"/>
    <col min="5636" max="5636" width="9.5703125" style="1" customWidth="1"/>
    <col min="5637" max="5637" width="10.7109375" style="1" customWidth="1"/>
    <col min="5638" max="5639" width="10.28515625" style="1" customWidth="1"/>
    <col min="5640" max="5640" width="0" style="1" hidden="1" customWidth="1"/>
    <col min="5641" max="5641" width="10.7109375" style="1" customWidth="1"/>
    <col min="5642" max="5642" width="10.85546875" style="1" customWidth="1"/>
    <col min="5643" max="5643" width="11.28515625" style="1" customWidth="1"/>
    <col min="5644" max="5645" width="11.5703125" style="1" customWidth="1"/>
    <col min="5646" max="5646" width="10.7109375" style="1" customWidth="1"/>
    <col min="5647" max="5647" width="10.5703125" style="1" customWidth="1"/>
    <col min="5648" max="5648" width="10.7109375" style="1" customWidth="1"/>
    <col min="5649" max="5649" width="15" style="1" customWidth="1"/>
    <col min="5650" max="5888" width="9.140625" style="1"/>
    <col min="5889" max="5889" width="28.42578125" style="1" customWidth="1"/>
    <col min="5890" max="5890" width="10.5703125" style="1" customWidth="1"/>
    <col min="5891" max="5891" width="0" style="1" hidden="1" customWidth="1"/>
    <col min="5892" max="5892" width="9.5703125" style="1" customWidth="1"/>
    <col min="5893" max="5893" width="10.7109375" style="1" customWidth="1"/>
    <col min="5894" max="5895" width="10.28515625" style="1" customWidth="1"/>
    <col min="5896" max="5896" width="0" style="1" hidden="1" customWidth="1"/>
    <col min="5897" max="5897" width="10.7109375" style="1" customWidth="1"/>
    <col min="5898" max="5898" width="10.85546875" style="1" customWidth="1"/>
    <col min="5899" max="5899" width="11.28515625" style="1" customWidth="1"/>
    <col min="5900" max="5901" width="11.5703125" style="1" customWidth="1"/>
    <col min="5902" max="5902" width="10.7109375" style="1" customWidth="1"/>
    <col min="5903" max="5903" width="10.5703125" style="1" customWidth="1"/>
    <col min="5904" max="5904" width="10.7109375" style="1" customWidth="1"/>
    <col min="5905" max="5905" width="15" style="1" customWidth="1"/>
    <col min="5906" max="6144" width="9.140625" style="1"/>
    <col min="6145" max="6145" width="28.42578125" style="1" customWidth="1"/>
    <col min="6146" max="6146" width="10.5703125" style="1" customWidth="1"/>
    <col min="6147" max="6147" width="0" style="1" hidden="1" customWidth="1"/>
    <col min="6148" max="6148" width="9.5703125" style="1" customWidth="1"/>
    <col min="6149" max="6149" width="10.7109375" style="1" customWidth="1"/>
    <col min="6150" max="6151" width="10.28515625" style="1" customWidth="1"/>
    <col min="6152" max="6152" width="0" style="1" hidden="1" customWidth="1"/>
    <col min="6153" max="6153" width="10.7109375" style="1" customWidth="1"/>
    <col min="6154" max="6154" width="10.85546875" style="1" customWidth="1"/>
    <col min="6155" max="6155" width="11.28515625" style="1" customWidth="1"/>
    <col min="6156" max="6157" width="11.5703125" style="1" customWidth="1"/>
    <col min="6158" max="6158" width="10.7109375" style="1" customWidth="1"/>
    <col min="6159" max="6159" width="10.5703125" style="1" customWidth="1"/>
    <col min="6160" max="6160" width="10.7109375" style="1" customWidth="1"/>
    <col min="6161" max="6161" width="15" style="1" customWidth="1"/>
    <col min="6162" max="6400" width="9.140625" style="1"/>
    <col min="6401" max="6401" width="28.42578125" style="1" customWidth="1"/>
    <col min="6402" max="6402" width="10.5703125" style="1" customWidth="1"/>
    <col min="6403" max="6403" width="0" style="1" hidden="1" customWidth="1"/>
    <col min="6404" max="6404" width="9.5703125" style="1" customWidth="1"/>
    <col min="6405" max="6405" width="10.7109375" style="1" customWidth="1"/>
    <col min="6406" max="6407" width="10.28515625" style="1" customWidth="1"/>
    <col min="6408" max="6408" width="0" style="1" hidden="1" customWidth="1"/>
    <col min="6409" max="6409" width="10.7109375" style="1" customWidth="1"/>
    <col min="6410" max="6410" width="10.85546875" style="1" customWidth="1"/>
    <col min="6411" max="6411" width="11.28515625" style="1" customWidth="1"/>
    <col min="6412" max="6413" width="11.5703125" style="1" customWidth="1"/>
    <col min="6414" max="6414" width="10.7109375" style="1" customWidth="1"/>
    <col min="6415" max="6415" width="10.5703125" style="1" customWidth="1"/>
    <col min="6416" max="6416" width="10.7109375" style="1" customWidth="1"/>
    <col min="6417" max="6417" width="15" style="1" customWidth="1"/>
    <col min="6418" max="6656" width="9.140625" style="1"/>
    <col min="6657" max="6657" width="28.42578125" style="1" customWidth="1"/>
    <col min="6658" max="6658" width="10.5703125" style="1" customWidth="1"/>
    <col min="6659" max="6659" width="0" style="1" hidden="1" customWidth="1"/>
    <col min="6660" max="6660" width="9.5703125" style="1" customWidth="1"/>
    <col min="6661" max="6661" width="10.7109375" style="1" customWidth="1"/>
    <col min="6662" max="6663" width="10.28515625" style="1" customWidth="1"/>
    <col min="6664" max="6664" width="0" style="1" hidden="1" customWidth="1"/>
    <col min="6665" max="6665" width="10.7109375" style="1" customWidth="1"/>
    <col min="6666" max="6666" width="10.85546875" style="1" customWidth="1"/>
    <col min="6667" max="6667" width="11.28515625" style="1" customWidth="1"/>
    <col min="6668" max="6669" width="11.5703125" style="1" customWidth="1"/>
    <col min="6670" max="6670" width="10.7109375" style="1" customWidth="1"/>
    <col min="6671" max="6671" width="10.5703125" style="1" customWidth="1"/>
    <col min="6672" max="6672" width="10.7109375" style="1" customWidth="1"/>
    <col min="6673" max="6673" width="15" style="1" customWidth="1"/>
    <col min="6674" max="6912" width="9.140625" style="1"/>
    <col min="6913" max="6913" width="28.42578125" style="1" customWidth="1"/>
    <col min="6914" max="6914" width="10.5703125" style="1" customWidth="1"/>
    <col min="6915" max="6915" width="0" style="1" hidden="1" customWidth="1"/>
    <col min="6916" max="6916" width="9.5703125" style="1" customWidth="1"/>
    <col min="6917" max="6917" width="10.7109375" style="1" customWidth="1"/>
    <col min="6918" max="6919" width="10.28515625" style="1" customWidth="1"/>
    <col min="6920" max="6920" width="0" style="1" hidden="1" customWidth="1"/>
    <col min="6921" max="6921" width="10.7109375" style="1" customWidth="1"/>
    <col min="6922" max="6922" width="10.85546875" style="1" customWidth="1"/>
    <col min="6923" max="6923" width="11.28515625" style="1" customWidth="1"/>
    <col min="6924" max="6925" width="11.5703125" style="1" customWidth="1"/>
    <col min="6926" max="6926" width="10.7109375" style="1" customWidth="1"/>
    <col min="6927" max="6927" width="10.5703125" style="1" customWidth="1"/>
    <col min="6928" max="6928" width="10.7109375" style="1" customWidth="1"/>
    <col min="6929" max="6929" width="15" style="1" customWidth="1"/>
    <col min="6930" max="7168" width="9.140625" style="1"/>
    <col min="7169" max="7169" width="28.42578125" style="1" customWidth="1"/>
    <col min="7170" max="7170" width="10.5703125" style="1" customWidth="1"/>
    <col min="7171" max="7171" width="0" style="1" hidden="1" customWidth="1"/>
    <col min="7172" max="7172" width="9.5703125" style="1" customWidth="1"/>
    <col min="7173" max="7173" width="10.7109375" style="1" customWidth="1"/>
    <col min="7174" max="7175" width="10.28515625" style="1" customWidth="1"/>
    <col min="7176" max="7176" width="0" style="1" hidden="1" customWidth="1"/>
    <col min="7177" max="7177" width="10.7109375" style="1" customWidth="1"/>
    <col min="7178" max="7178" width="10.85546875" style="1" customWidth="1"/>
    <col min="7179" max="7179" width="11.28515625" style="1" customWidth="1"/>
    <col min="7180" max="7181" width="11.5703125" style="1" customWidth="1"/>
    <col min="7182" max="7182" width="10.7109375" style="1" customWidth="1"/>
    <col min="7183" max="7183" width="10.5703125" style="1" customWidth="1"/>
    <col min="7184" max="7184" width="10.7109375" style="1" customWidth="1"/>
    <col min="7185" max="7185" width="15" style="1" customWidth="1"/>
    <col min="7186" max="7424" width="9.140625" style="1"/>
    <col min="7425" max="7425" width="28.42578125" style="1" customWidth="1"/>
    <col min="7426" max="7426" width="10.5703125" style="1" customWidth="1"/>
    <col min="7427" max="7427" width="0" style="1" hidden="1" customWidth="1"/>
    <col min="7428" max="7428" width="9.5703125" style="1" customWidth="1"/>
    <col min="7429" max="7429" width="10.7109375" style="1" customWidth="1"/>
    <col min="7430" max="7431" width="10.28515625" style="1" customWidth="1"/>
    <col min="7432" max="7432" width="0" style="1" hidden="1" customWidth="1"/>
    <col min="7433" max="7433" width="10.7109375" style="1" customWidth="1"/>
    <col min="7434" max="7434" width="10.85546875" style="1" customWidth="1"/>
    <col min="7435" max="7435" width="11.28515625" style="1" customWidth="1"/>
    <col min="7436" max="7437" width="11.5703125" style="1" customWidth="1"/>
    <col min="7438" max="7438" width="10.7109375" style="1" customWidth="1"/>
    <col min="7439" max="7439" width="10.5703125" style="1" customWidth="1"/>
    <col min="7440" max="7440" width="10.7109375" style="1" customWidth="1"/>
    <col min="7441" max="7441" width="15" style="1" customWidth="1"/>
    <col min="7442" max="7680" width="9.140625" style="1"/>
    <col min="7681" max="7681" width="28.42578125" style="1" customWidth="1"/>
    <col min="7682" max="7682" width="10.5703125" style="1" customWidth="1"/>
    <col min="7683" max="7683" width="0" style="1" hidden="1" customWidth="1"/>
    <col min="7684" max="7684" width="9.5703125" style="1" customWidth="1"/>
    <col min="7685" max="7685" width="10.7109375" style="1" customWidth="1"/>
    <col min="7686" max="7687" width="10.28515625" style="1" customWidth="1"/>
    <col min="7688" max="7688" width="0" style="1" hidden="1" customWidth="1"/>
    <col min="7689" max="7689" width="10.7109375" style="1" customWidth="1"/>
    <col min="7690" max="7690" width="10.85546875" style="1" customWidth="1"/>
    <col min="7691" max="7691" width="11.28515625" style="1" customWidth="1"/>
    <col min="7692" max="7693" width="11.5703125" style="1" customWidth="1"/>
    <col min="7694" max="7694" width="10.7109375" style="1" customWidth="1"/>
    <col min="7695" max="7695" width="10.5703125" style="1" customWidth="1"/>
    <col min="7696" max="7696" width="10.7109375" style="1" customWidth="1"/>
    <col min="7697" max="7697" width="15" style="1" customWidth="1"/>
    <col min="7698" max="7936" width="9.140625" style="1"/>
    <col min="7937" max="7937" width="28.42578125" style="1" customWidth="1"/>
    <col min="7938" max="7938" width="10.5703125" style="1" customWidth="1"/>
    <col min="7939" max="7939" width="0" style="1" hidden="1" customWidth="1"/>
    <col min="7940" max="7940" width="9.5703125" style="1" customWidth="1"/>
    <col min="7941" max="7941" width="10.7109375" style="1" customWidth="1"/>
    <col min="7942" max="7943" width="10.28515625" style="1" customWidth="1"/>
    <col min="7944" max="7944" width="0" style="1" hidden="1" customWidth="1"/>
    <col min="7945" max="7945" width="10.7109375" style="1" customWidth="1"/>
    <col min="7946" max="7946" width="10.85546875" style="1" customWidth="1"/>
    <col min="7947" max="7947" width="11.28515625" style="1" customWidth="1"/>
    <col min="7948" max="7949" width="11.5703125" style="1" customWidth="1"/>
    <col min="7950" max="7950" width="10.7109375" style="1" customWidth="1"/>
    <col min="7951" max="7951" width="10.5703125" style="1" customWidth="1"/>
    <col min="7952" max="7952" width="10.7109375" style="1" customWidth="1"/>
    <col min="7953" max="7953" width="15" style="1" customWidth="1"/>
    <col min="7954" max="8192" width="9.140625" style="1"/>
    <col min="8193" max="8193" width="28.42578125" style="1" customWidth="1"/>
    <col min="8194" max="8194" width="10.5703125" style="1" customWidth="1"/>
    <col min="8195" max="8195" width="0" style="1" hidden="1" customWidth="1"/>
    <col min="8196" max="8196" width="9.5703125" style="1" customWidth="1"/>
    <col min="8197" max="8197" width="10.7109375" style="1" customWidth="1"/>
    <col min="8198" max="8199" width="10.28515625" style="1" customWidth="1"/>
    <col min="8200" max="8200" width="0" style="1" hidden="1" customWidth="1"/>
    <col min="8201" max="8201" width="10.7109375" style="1" customWidth="1"/>
    <col min="8202" max="8202" width="10.85546875" style="1" customWidth="1"/>
    <col min="8203" max="8203" width="11.28515625" style="1" customWidth="1"/>
    <col min="8204" max="8205" width="11.5703125" style="1" customWidth="1"/>
    <col min="8206" max="8206" width="10.7109375" style="1" customWidth="1"/>
    <col min="8207" max="8207" width="10.5703125" style="1" customWidth="1"/>
    <col min="8208" max="8208" width="10.7109375" style="1" customWidth="1"/>
    <col min="8209" max="8209" width="15" style="1" customWidth="1"/>
    <col min="8210" max="8448" width="9.140625" style="1"/>
    <col min="8449" max="8449" width="28.42578125" style="1" customWidth="1"/>
    <col min="8450" max="8450" width="10.5703125" style="1" customWidth="1"/>
    <col min="8451" max="8451" width="0" style="1" hidden="1" customWidth="1"/>
    <col min="8452" max="8452" width="9.5703125" style="1" customWidth="1"/>
    <col min="8453" max="8453" width="10.7109375" style="1" customWidth="1"/>
    <col min="8454" max="8455" width="10.28515625" style="1" customWidth="1"/>
    <col min="8456" max="8456" width="0" style="1" hidden="1" customWidth="1"/>
    <col min="8457" max="8457" width="10.7109375" style="1" customWidth="1"/>
    <col min="8458" max="8458" width="10.85546875" style="1" customWidth="1"/>
    <col min="8459" max="8459" width="11.28515625" style="1" customWidth="1"/>
    <col min="8460" max="8461" width="11.5703125" style="1" customWidth="1"/>
    <col min="8462" max="8462" width="10.7109375" style="1" customWidth="1"/>
    <col min="8463" max="8463" width="10.5703125" style="1" customWidth="1"/>
    <col min="8464" max="8464" width="10.7109375" style="1" customWidth="1"/>
    <col min="8465" max="8465" width="15" style="1" customWidth="1"/>
    <col min="8466" max="8704" width="9.140625" style="1"/>
    <col min="8705" max="8705" width="28.42578125" style="1" customWidth="1"/>
    <col min="8706" max="8706" width="10.5703125" style="1" customWidth="1"/>
    <col min="8707" max="8707" width="0" style="1" hidden="1" customWidth="1"/>
    <col min="8708" max="8708" width="9.5703125" style="1" customWidth="1"/>
    <col min="8709" max="8709" width="10.7109375" style="1" customWidth="1"/>
    <col min="8710" max="8711" width="10.28515625" style="1" customWidth="1"/>
    <col min="8712" max="8712" width="0" style="1" hidden="1" customWidth="1"/>
    <col min="8713" max="8713" width="10.7109375" style="1" customWidth="1"/>
    <col min="8714" max="8714" width="10.85546875" style="1" customWidth="1"/>
    <col min="8715" max="8715" width="11.28515625" style="1" customWidth="1"/>
    <col min="8716" max="8717" width="11.5703125" style="1" customWidth="1"/>
    <col min="8718" max="8718" width="10.7109375" style="1" customWidth="1"/>
    <col min="8719" max="8719" width="10.5703125" style="1" customWidth="1"/>
    <col min="8720" max="8720" width="10.7109375" style="1" customWidth="1"/>
    <col min="8721" max="8721" width="15" style="1" customWidth="1"/>
    <col min="8722" max="8960" width="9.140625" style="1"/>
    <col min="8961" max="8961" width="28.42578125" style="1" customWidth="1"/>
    <col min="8962" max="8962" width="10.5703125" style="1" customWidth="1"/>
    <col min="8963" max="8963" width="0" style="1" hidden="1" customWidth="1"/>
    <col min="8964" max="8964" width="9.5703125" style="1" customWidth="1"/>
    <col min="8965" max="8965" width="10.7109375" style="1" customWidth="1"/>
    <col min="8966" max="8967" width="10.28515625" style="1" customWidth="1"/>
    <col min="8968" max="8968" width="0" style="1" hidden="1" customWidth="1"/>
    <col min="8969" max="8969" width="10.7109375" style="1" customWidth="1"/>
    <col min="8970" max="8970" width="10.85546875" style="1" customWidth="1"/>
    <col min="8971" max="8971" width="11.28515625" style="1" customWidth="1"/>
    <col min="8972" max="8973" width="11.5703125" style="1" customWidth="1"/>
    <col min="8974" max="8974" width="10.7109375" style="1" customWidth="1"/>
    <col min="8975" max="8975" width="10.5703125" style="1" customWidth="1"/>
    <col min="8976" max="8976" width="10.7109375" style="1" customWidth="1"/>
    <col min="8977" max="8977" width="15" style="1" customWidth="1"/>
    <col min="8978" max="9216" width="9.140625" style="1"/>
    <col min="9217" max="9217" width="28.42578125" style="1" customWidth="1"/>
    <col min="9218" max="9218" width="10.5703125" style="1" customWidth="1"/>
    <col min="9219" max="9219" width="0" style="1" hidden="1" customWidth="1"/>
    <col min="9220" max="9220" width="9.5703125" style="1" customWidth="1"/>
    <col min="9221" max="9221" width="10.7109375" style="1" customWidth="1"/>
    <col min="9222" max="9223" width="10.28515625" style="1" customWidth="1"/>
    <col min="9224" max="9224" width="0" style="1" hidden="1" customWidth="1"/>
    <col min="9225" max="9225" width="10.7109375" style="1" customWidth="1"/>
    <col min="9226" max="9226" width="10.85546875" style="1" customWidth="1"/>
    <col min="9227" max="9227" width="11.28515625" style="1" customWidth="1"/>
    <col min="9228" max="9229" width="11.5703125" style="1" customWidth="1"/>
    <col min="9230" max="9230" width="10.7109375" style="1" customWidth="1"/>
    <col min="9231" max="9231" width="10.5703125" style="1" customWidth="1"/>
    <col min="9232" max="9232" width="10.7109375" style="1" customWidth="1"/>
    <col min="9233" max="9233" width="15" style="1" customWidth="1"/>
    <col min="9234" max="9472" width="9.140625" style="1"/>
    <col min="9473" max="9473" width="28.42578125" style="1" customWidth="1"/>
    <col min="9474" max="9474" width="10.5703125" style="1" customWidth="1"/>
    <col min="9475" max="9475" width="0" style="1" hidden="1" customWidth="1"/>
    <col min="9476" max="9476" width="9.5703125" style="1" customWidth="1"/>
    <col min="9477" max="9477" width="10.7109375" style="1" customWidth="1"/>
    <col min="9478" max="9479" width="10.28515625" style="1" customWidth="1"/>
    <col min="9480" max="9480" width="0" style="1" hidden="1" customWidth="1"/>
    <col min="9481" max="9481" width="10.7109375" style="1" customWidth="1"/>
    <col min="9482" max="9482" width="10.85546875" style="1" customWidth="1"/>
    <col min="9483" max="9483" width="11.28515625" style="1" customWidth="1"/>
    <col min="9484" max="9485" width="11.5703125" style="1" customWidth="1"/>
    <col min="9486" max="9486" width="10.7109375" style="1" customWidth="1"/>
    <col min="9487" max="9487" width="10.5703125" style="1" customWidth="1"/>
    <col min="9488" max="9488" width="10.7109375" style="1" customWidth="1"/>
    <col min="9489" max="9489" width="15" style="1" customWidth="1"/>
    <col min="9490" max="9728" width="9.140625" style="1"/>
    <col min="9729" max="9729" width="28.42578125" style="1" customWidth="1"/>
    <col min="9730" max="9730" width="10.5703125" style="1" customWidth="1"/>
    <col min="9731" max="9731" width="0" style="1" hidden="1" customWidth="1"/>
    <col min="9732" max="9732" width="9.5703125" style="1" customWidth="1"/>
    <col min="9733" max="9733" width="10.7109375" style="1" customWidth="1"/>
    <col min="9734" max="9735" width="10.28515625" style="1" customWidth="1"/>
    <col min="9736" max="9736" width="0" style="1" hidden="1" customWidth="1"/>
    <col min="9737" max="9737" width="10.7109375" style="1" customWidth="1"/>
    <col min="9738" max="9738" width="10.85546875" style="1" customWidth="1"/>
    <col min="9739" max="9739" width="11.28515625" style="1" customWidth="1"/>
    <col min="9740" max="9741" width="11.5703125" style="1" customWidth="1"/>
    <col min="9742" max="9742" width="10.7109375" style="1" customWidth="1"/>
    <col min="9743" max="9743" width="10.5703125" style="1" customWidth="1"/>
    <col min="9744" max="9744" width="10.7109375" style="1" customWidth="1"/>
    <col min="9745" max="9745" width="15" style="1" customWidth="1"/>
    <col min="9746" max="9984" width="9.140625" style="1"/>
    <col min="9985" max="9985" width="28.42578125" style="1" customWidth="1"/>
    <col min="9986" max="9986" width="10.5703125" style="1" customWidth="1"/>
    <col min="9987" max="9987" width="0" style="1" hidden="1" customWidth="1"/>
    <col min="9988" max="9988" width="9.5703125" style="1" customWidth="1"/>
    <col min="9989" max="9989" width="10.7109375" style="1" customWidth="1"/>
    <col min="9990" max="9991" width="10.28515625" style="1" customWidth="1"/>
    <col min="9992" max="9992" width="0" style="1" hidden="1" customWidth="1"/>
    <col min="9993" max="9993" width="10.7109375" style="1" customWidth="1"/>
    <col min="9994" max="9994" width="10.85546875" style="1" customWidth="1"/>
    <col min="9995" max="9995" width="11.28515625" style="1" customWidth="1"/>
    <col min="9996" max="9997" width="11.5703125" style="1" customWidth="1"/>
    <col min="9998" max="9998" width="10.7109375" style="1" customWidth="1"/>
    <col min="9999" max="9999" width="10.5703125" style="1" customWidth="1"/>
    <col min="10000" max="10000" width="10.7109375" style="1" customWidth="1"/>
    <col min="10001" max="10001" width="15" style="1" customWidth="1"/>
    <col min="10002" max="10240" width="9.140625" style="1"/>
    <col min="10241" max="10241" width="28.42578125" style="1" customWidth="1"/>
    <col min="10242" max="10242" width="10.5703125" style="1" customWidth="1"/>
    <col min="10243" max="10243" width="0" style="1" hidden="1" customWidth="1"/>
    <col min="10244" max="10244" width="9.5703125" style="1" customWidth="1"/>
    <col min="10245" max="10245" width="10.7109375" style="1" customWidth="1"/>
    <col min="10246" max="10247" width="10.28515625" style="1" customWidth="1"/>
    <col min="10248" max="10248" width="0" style="1" hidden="1" customWidth="1"/>
    <col min="10249" max="10249" width="10.7109375" style="1" customWidth="1"/>
    <col min="10250" max="10250" width="10.85546875" style="1" customWidth="1"/>
    <col min="10251" max="10251" width="11.28515625" style="1" customWidth="1"/>
    <col min="10252" max="10253" width="11.5703125" style="1" customWidth="1"/>
    <col min="10254" max="10254" width="10.7109375" style="1" customWidth="1"/>
    <col min="10255" max="10255" width="10.5703125" style="1" customWidth="1"/>
    <col min="10256" max="10256" width="10.7109375" style="1" customWidth="1"/>
    <col min="10257" max="10257" width="15" style="1" customWidth="1"/>
    <col min="10258" max="10496" width="9.140625" style="1"/>
    <col min="10497" max="10497" width="28.42578125" style="1" customWidth="1"/>
    <col min="10498" max="10498" width="10.5703125" style="1" customWidth="1"/>
    <col min="10499" max="10499" width="0" style="1" hidden="1" customWidth="1"/>
    <col min="10500" max="10500" width="9.5703125" style="1" customWidth="1"/>
    <col min="10501" max="10501" width="10.7109375" style="1" customWidth="1"/>
    <col min="10502" max="10503" width="10.28515625" style="1" customWidth="1"/>
    <col min="10504" max="10504" width="0" style="1" hidden="1" customWidth="1"/>
    <col min="10505" max="10505" width="10.7109375" style="1" customWidth="1"/>
    <col min="10506" max="10506" width="10.85546875" style="1" customWidth="1"/>
    <col min="10507" max="10507" width="11.28515625" style="1" customWidth="1"/>
    <col min="10508" max="10509" width="11.5703125" style="1" customWidth="1"/>
    <col min="10510" max="10510" width="10.7109375" style="1" customWidth="1"/>
    <col min="10511" max="10511" width="10.5703125" style="1" customWidth="1"/>
    <col min="10512" max="10512" width="10.7109375" style="1" customWidth="1"/>
    <col min="10513" max="10513" width="15" style="1" customWidth="1"/>
    <col min="10514" max="10752" width="9.140625" style="1"/>
    <col min="10753" max="10753" width="28.42578125" style="1" customWidth="1"/>
    <col min="10754" max="10754" width="10.5703125" style="1" customWidth="1"/>
    <col min="10755" max="10755" width="0" style="1" hidden="1" customWidth="1"/>
    <col min="10756" max="10756" width="9.5703125" style="1" customWidth="1"/>
    <col min="10757" max="10757" width="10.7109375" style="1" customWidth="1"/>
    <col min="10758" max="10759" width="10.28515625" style="1" customWidth="1"/>
    <col min="10760" max="10760" width="0" style="1" hidden="1" customWidth="1"/>
    <col min="10761" max="10761" width="10.7109375" style="1" customWidth="1"/>
    <col min="10762" max="10762" width="10.85546875" style="1" customWidth="1"/>
    <col min="10763" max="10763" width="11.28515625" style="1" customWidth="1"/>
    <col min="10764" max="10765" width="11.5703125" style="1" customWidth="1"/>
    <col min="10766" max="10766" width="10.7109375" style="1" customWidth="1"/>
    <col min="10767" max="10767" width="10.5703125" style="1" customWidth="1"/>
    <col min="10768" max="10768" width="10.7109375" style="1" customWidth="1"/>
    <col min="10769" max="10769" width="15" style="1" customWidth="1"/>
    <col min="10770" max="11008" width="9.140625" style="1"/>
    <col min="11009" max="11009" width="28.42578125" style="1" customWidth="1"/>
    <col min="11010" max="11010" width="10.5703125" style="1" customWidth="1"/>
    <col min="11011" max="11011" width="0" style="1" hidden="1" customWidth="1"/>
    <col min="11012" max="11012" width="9.5703125" style="1" customWidth="1"/>
    <col min="11013" max="11013" width="10.7109375" style="1" customWidth="1"/>
    <col min="11014" max="11015" width="10.28515625" style="1" customWidth="1"/>
    <col min="11016" max="11016" width="0" style="1" hidden="1" customWidth="1"/>
    <col min="11017" max="11017" width="10.7109375" style="1" customWidth="1"/>
    <col min="11018" max="11018" width="10.85546875" style="1" customWidth="1"/>
    <col min="11019" max="11019" width="11.28515625" style="1" customWidth="1"/>
    <col min="11020" max="11021" width="11.5703125" style="1" customWidth="1"/>
    <col min="11022" max="11022" width="10.7109375" style="1" customWidth="1"/>
    <col min="11023" max="11023" width="10.5703125" style="1" customWidth="1"/>
    <col min="11024" max="11024" width="10.7109375" style="1" customWidth="1"/>
    <col min="11025" max="11025" width="15" style="1" customWidth="1"/>
    <col min="11026" max="11264" width="9.140625" style="1"/>
    <col min="11265" max="11265" width="28.42578125" style="1" customWidth="1"/>
    <col min="11266" max="11266" width="10.5703125" style="1" customWidth="1"/>
    <col min="11267" max="11267" width="0" style="1" hidden="1" customWidth="1"/>
    <col min="11268" max="11268" width="9.5703125" style="1" customWidth="1"/>
    <col min="11269" max="11269" width="10.7109375" style="1" customWidth="1"/>
    <col min="11270" max="11271" width="10.28515625" style="1" customWidth="1"/>
    <col min="11272" max="11272" width="0" style="1" hidden="1" customWidth="1"/>
    <col min="11273" max="11273" width="10.7109375" style="1" customWidth="1"/>
    <col min="11274" max="11274" width="10.85546875" style="1" customWidth="1"/>
    <col min="11275" max="11275" width="11.28515625" style="1" customWidth="1"/>
    <col min="11276" max="11277" width="11.5703125" style="1" customWidth="1"/>
    <col min="11278" max="11278" width="10.7109375" style="1" customWidth="1"/>
    <col min="11279" max="11279" width="10.5703125" style="1" customWidth="1"/>
    <col min="11280" max="11280" width="10.7109375" style="1" customWidth="1"/>
    <col min="11281" max="11281" width="15" style="1" customWidth="1"/>
    <col min="11282" max="11520" width="9.140625" style="1"/>
    <col min="11521" max="11521" width="28.42578125" style="1" customWidth="1"/>
    <col min="11522" max="11522" width="10.5703125" style="1" customWidth="1"/>
    <col min="11523" max="11523" width="0" style="1" hidden="1" customWidth="1"/>
    <col min="11524" max="11524" width="9.5703125" style="1" customWidth="1"/>
    <col min="11525" max="11525" width="10.7109375" style="1" customWidth="1"/>
    <col min="11526" max="11527" width="10.28515625" style="1" customWidth="1"/>
    <col min="11528" max="11528" width="0" style="1" hidden="1" customWidth="1"/>
    <col min="11529" max="11529" width="10.7109375" style="1" customWidth="1"/>
    <col min="11530" max="11530" width="10.85546875" style="1" customWidth="1"/>
    <col min="11531" max="11531" width="11.28515625" style="1" customWidth="1"/>
    <col min="11532" max="11533" width="11.5703125" style="1" customWidth="1"/>
    <col min="11534" max="11534" width="10.7109375" style="1" customWidth="1"/>
    <col min="11535" max="11535" width="10.5703125" style="1" customWidth="1"/>
    <col min="11536" max="11536" width="10.7109375" style="1" customWidth="1"/>
    <col min="11537" max="11537" width="15" style="1" customWidth="1"/>
    <col min="11538" max="11776" width="9.140625" style="1"/>
    <col min="11777" max="11777" width="28.42578125" style="1" customWidth="1"/>
    <col min="11778" max="11778" width="10.5703125" style="1" customWidth="1"/>
    <col min="11779" max="11779" width="0" style="1" hidden="1" customWidth="1"/>
    <col min="11780" max="11780" width="9.5703125" style="1" customWidth="1"/>
    <col min="11781" max="11781" width="10.7109375" style="1" customWidth="1"/>
    <col min="11782" max="11783" width="10.28515625" style="1" customWidth="1"/>
    <col min="11784" max="11784" width="0" style="1" hidden="1" customWidth="1"/>
    <col min="11785" max="11785" width="10.7109375" style="1" customWidth="1"/>
    <col min="11786" max="11786" width="10.85546875" style="1" customWidth="1"/>
    <col min="11787" max="11787" width="11.28515625" style="1" customWidth="1"/>
    <col min="11788" max="11789" width="11.5703125" style="1" customWidth="1"/>
    <col min="11790" max="11790" width="10.7109375" style="1" customWidth="1"/>
    <col min="11791" max="11791" width="10.5703125" style="1" customWidth="1"/>
    <col min="11792" max="11792" width="10.7109375" style="1" customWidth="1"/>
    <col min="11793" max="11793" width="15" style="1" customWidth="1"/>
    <col min="11794" max="12032" width="9.140625" style="1"/>
    <col min="12033" max="12033" width="28.42578125" style="1" customWidth="1"/>
    <col min="12034" max="12034" width="10.5703125" style="1" customWidth="1"/>
    <col min="12035" max="12035" width="0" style="1" hidden="1" customWidth="1"/>
    <col min="12036" max="12036" width="9.5703125" style="1" customWidth="1"/>
    <col min="12037" max="12037" width="10.7109375" style="1" customWidth="1"/>
    <col min="12038" max="12039" width="10.28515625" style="1" customWidth="1"/>
    <col min="12040" max="12040" width="0" style="1" hidden="1" customWidth="1"/>
    <col min="12041" max="12041" width="10.7109375" style="1" customWidth="1"/>
    <col min="12042" max="12042" width="10.85546875" style="1" customWidth="1"/>
    <col min="12043" max="12043" width="11.28515625" style="1" customWidth="1"/>
    <col min="12044" max="12045" width="11.5703125" style="1" customWidth="1"/>
    <col min="12046" max="12046" width="10.7109375" style="1" customWidth="1"/>
    <col min="12047" max="12047" width="10.5703125" style="1" customWidth="1"/>
    <col min="12048" max="12048" width="10.7109375" style="1" customWidth="1"/>
    <col min="12049" max="12049" width="15" style="1" customWidth="1"/>
    <col min="12050" max="12288" width="9.140625" style="1"/>
    <col min="12289" max="12289" width="28.42578125" style="1" customWidth="1"/>
    <col min="12290" max="12290" width="10.5703125" style="1" customWidth="1"/>
    <col min="12291" max="12291" width="0" style="1" hidden="1" customWidth="1"/>
    <col min="12292" max="12292" width="9.5703125" style="1" customWidth="1"/>
    <col min="12293" max="12293" width="10.7109375" style="1" customWidth="1"/>
    <col min="12294" max="12295" width="10.28515625" style="1" customWidth="1"/>
    <col min="12296" max="12296" width="0" style="1" hidden="1" customWidth="1"/>
    <col min="12297" max="12297" width="10.7109375" style="1" customWidth="1"/>
    <col min="12298" max="12298" width="10.85546875" style="1" customWidth="1"/>
    <col min="12299" max="12299" width="11.28515625" style="1" customWidth="1"/>
    <col min="12300" max="12301" width="11.5703125" style="1" customWidth="1"/>
    <col min="12302" max="12302" width="10.7109375" style="1" customWidth="1"/>
    <col min="12303" max="12303" width="10.5703125" style="1" customWidth="1"/>
    <col min="12304" max="12304" width="10.7109375" style="1" customWidth="1"/>
    <col min="12305" max="12305" width="15" style="1" customWidth="1"/>
    <col min="12306" max="12544" width="9.140625" style="1"/>
    <col min="12545" max="12545" width="28.42578125" style="1" customWidth="1"/>
    <col min="12546" max="12546" width="10.5703125" style="1" customWidth="1"/>
    <col min="12547" max="12547" width="0" style="1" hidden="1" customWidth="1"/>
    <col min="12548" max="12548" width="9.5703125" style="1" customWidth="1"/>
    <col min="12549" max="12549" width="10.7109375" style="1" customWidth="1"/>
    <col min="12550" max="12551" width="10.28515625" style="1" customWidth="1"/>
    <col min="12552" max="12552" width="0" style="1" hidden="1" customWidth="1"/>
    <col min="12553" max="12553" width="10.7109375" style="1" customWidth="1"/>
    <col min="12554" max="12554" width="10.85546875" style="1" customWidth="1"/>
    <col min="12555" max="12555" width="11.28515625" style="1" customWidth="1"/>
    <col min="12556" max="12557" width="11.5703125" style="1" customWidth="1"/>
    <col min="12558" max="12558" width="10.7109375" style="1" customWidth="1"/>
    <col min="12559" max="12559" width="10.5703125" style="1" customWidth="1"/>
    <col min="12560" max="12560" width="10.7109375" style="1" customWidth="1"/>
    <col min="12561" max="12561" width="15" style="1" customWidth="1"/>
    <col min="12562" max="12800" width="9.140625" style="1"/>
    <col min="12801" max="12801" width="28.42578125" style="1" customWidth="1"/>
    <col min="12802" max="12802" width="10.5703125" style="1" customWidth="1"/>
    <col min="12803" max="12803" width="0" style="1" hidden="1" customWidth="1"/>
    <col min="12804" max="12804" width="9.5703125" style="1" customWidth="1"/>
    <col min="12805" max="12805" width="10.7109375" style="1" customWidth="1"/>
    <col min="12806" max="12807" width="10.28515625" style="1" customWidth="1"/>
    <col min="12808" max="12808" width="0" style="1" hidden="1" customWidth="1"/>
    <col min="12809" max="12809" width="10.7109375" style="1" customWidth="1"/>
    <col min="12810" max="12810" width="10.85546875" style="1" customWidth="1"/>
    <col min="12811" max="12811" width="11.28515625" style="1" customWidth="1"/>
    <col min="12812" max="12813" width="11.5703125" style="1" customWidth="1"/>
    <col min="12814" max="12814" width="10.7109375" style="1" customWidth="1"/>
    <col min="12815" max="12815" width="10.5703125" style="1" customWidth="1"/>
    <col min="12816" max="12816" width="10.7109375" style="1" customWidth="1"/>
    <col min="12817" max="12817" width="15" style="1" customWidth="1"/>
    <col min="12818" max="13056" width="9.140625" style="1"/>
    <col min="13057" max="13057" width="28.42578125" style="1" customWidth="1"/>
    <col min="13058" max="13058" width="10.5703125" style="1" customWidth="1"/>
    <col min="13059" max="13059" width="0" style="1" hidden="1" customWidth="1"/>
    <col min="13060" max="13060" width="9.5703125" style="1" customWidth="1"/>
    <col min="13061" max="13061" width="10.7109375" style="1" customWidth="1"/>
    <col min="13062" max="13063" width="10.28515625" style="1" customWidth="1"/>
    <col min="13064" max="13064" width="0" style="1" hidden="1" customWidth="1"/>
    <col min="13065" max="13065" width="10.7109375" style="1" customWidth="1"/>
    <col min="13066" max="13066" width="10.85546875" style="1" customWidth="1"/>
    <col min="13067" max="13067" width="11.28515625" style="1" customWidth="1"/>
    <col min="13068" max="13069" width="11.5703125" style="1" customWidth="1"/>
    <col min="13070" max="13070" width="10.7109375" style="1" customWidth="1"/>
    <col min="13071" max="13071" width="10.5703125" style="1" customWidth="1"/>
    <col min="13072" max="13072" width="10.7109375" style="1" customWidth="1"/>
    <col min="13073" max="13073" width="15" style="1" customWidth="1"/>
    <col min="13074" max="13312" width="9.140625" style="1"/>
    <col min="13313" max="13313" width="28.42578125" style="1" customWidth="1"/>
    <col min="13314" max="13314" width="10.5703125" style="1" customWidth="1"/>
    <col min="13315" max="13315" width="0" style="1" hidden="1" customWidth="1"/>
    <col min="13316" max="13316" width="9.5703125" style="1" customWidth="1"/>
    <col min="13317" max="13317" width="10.7109375" style="1" customWidth="1"/>
    <col min="13318" max="13319" width="10.28515625" style="1" customWidth="1"/>
    <col min="13320" max="13320" width="0" style="1" hidden="1" customWidth="1"/>
    <col min="13321" max="13321" width="10.7109375" style="1" customWidth="1"/>
    <col min="13322" max="13322" width="10.85546875" style="1" customWidth="1"/>
    <col min="13323" max="13323" width="11.28515625" style="1" customWidth="1"/>
    <col min="13324" max="13325" width="11.5703125" style="1" customWidth="1"/>
    <col min="13326" max="13326" width="10.7109375" style="1" customWidth="1"/>
    <col min="13327" max="13327" width="10.5703125" style="1" customWidth="1"/>
    <col min="13328" max="13328" width="10.7109375" style="1" customWidth="1"/>
    <col min="13329" max="13329" width="15" style="1" customWidth="1"/>
    <col min="13330" max="13568" width="9.140625" style="1"/>
    <col min="13569" max="13569" width="28.42578125" style="1" customWidth="1"/>
    <col min="13570" max="13570" width="10.5703125" style="1" customWidth="1"/>
    <col min="13571" max="13571" width="0" style="1" hidden="1" customWidth="1"/>
    <col min="13572" max="13572" width="9.5703125" style="1" customWidth="1"/>
    <col min="13573" max="13573" width="10.7109375" style="1" customWidth="1"/>
    <col min="13574" max="13575" width="10.28515625" style="1" customWidth="1"/>
    <col min="13576" max="13576" width="0" style="1" hidden="1" customWidth="1"/>
    <col min="13577" max="13577" width="10.7109375" style="1" customWidth="1"/>
    <col min="13578" max="13578" width="10.85546875" style="1" customWidth="1"/>
    <col min="13579" max="13579" width="11.28515625" style="1" customWidth="1"/>
    <col min="13580" max="13581" width="11.5703125" style="1" customWidth="1"/>
    <col min="13582" max="13582" width="10.7109375" style="1" customWidth="1"/>
    <col min="13583" max="13583" width="10.5703125" style="1" customWidth="1"/>
    <col min="13584" max="13584" width="10.7109375" style="1" customWidth="1"/>
    <col min="13585" max="13585" width="15" style="1" customWidth="1"/>
    <col min="13586" max="13824" width="9.140625" style="1"/>
    <col min="13825" max="13825" width="28.42578125" style="1" customWidth="1"/>
    <col min="13826" max="13826" width="10.5703125" style="1" customWidth="1"/>
    <col min="13827" max="13827" width="0" style="1" hidden="1" customWidth="1"/>
    <col min="13828" max="13828" width="9.5703125" style="1" customWidth="1"/>
    <col min="13829" max="13829" width="10.7109375" style="1" customWidth="1"/>
    <col min="13830" max="13831" width="10.28515625" style="1" customWidth="1"/>
    <col min="13832" max="13832" width="0" style="1" hidden="1" customWidth="1"/>
    <col min="13833" max="13833" width="10.7109375" style="1" customWidth="1"/>
    <col min="13834" max="13834" width="10.85546875" style="1" customWidth="1"/>
    <col min="13835" max="13835" width="11.28515625" style="1" customWidth="1"/>
    <col min="13836" max="13837" width="11.5703125" style="1" customWidth="1"/>
    <col min="13838" max="13838" width="10.7109375" style="1" customWidth="1"/>
    <col min="13839" max="13839" width="10.5703125" style="1" customWidth="1"/>
    <col min="13840" max="13840" width="10.7109375" style="1" customWidth="1"/>
    <col min="13841" max="13841" width="15" style="1" customWidth="1"/>
    <col min="13842" max="14080" width="9.140625" style="1"/>
    <col min="14081" max="14081" width="28.42578125" style="1" customWidth="1"/>
    <col min="14082" max="14082" width="10.5703125" style="1" customWidth="1"/>
    <col min="14083" max="14083" width="0" style="1" hidden="1" customWidth="1"/>
    <col min="14084" max="14084" width="9.5703125" style="1" customWidth="1"/>
    <col min="14085" max="14085" width="10.7109375" style="1" customWidth="1"/>
    <col min="14086" max="14087" width="10.28515625" style="1" customWidth="1"/>
    <col min="14088" max="14088" width="0" style="1" hidden="1" customWidth="1"/>
    <col min="14089" max="14089" width="10.7109375" style="1" customWidth="1"/>
    <col min="14090" max="14090" width="10.85546875" style="1" customWidth="1"/>
    <col min="14091" max="14091" width="11.28515625" style="1" customWidth="1"/>
    <col min="14092" max="14093" width="11.5703125" style="1" customWidth="1"/>
    <col min="14094" max="14094" width="10.7109375" style="1" customWidth="1"/>
    <col min="14095" max="14095" width="10.5703125" style="1" customWidth="1"/>
    <col min="14096" max="14096" width="10.7109375" style="1" customWidth="1"/>
    <col min="14097" max="14097" width="15" style="1" customWidth="1"/>
    <col min="14098" max="14336" width="9.140625" style="1"/>
    <col min="14337" max="14337" width="28.42578125" style="1" customWidth="1"/>
    <col min="14338" max="14338" width="10.5703125" style="1" customWidth="1"/>
    <col min="14339" max="14339" width="0" style="1" hidden="1" customWidth="1"/>
    <col min="14340" max="14340" width="9.5703125" style="1" customWidth="1"/>
    <col min="14341" max="14341" width="10.7109375" style="1" customWidth="1"/>
    <col min="14342" max="14343" width="10.28515625" style="1" customWidth="1"/>
    <col min="14344" max="14344" width="0" style="1" hidden="1" customWidth="1"/>
    <col min="14345" max="14345" width="10.7109375" style="1" customWidth="1"/>
    <col min="14346" max="14346" width="10.85546875" style="1" customWidth="1"/>
    <col min="14347" max="14347" width="11.28515625" style="1" customWidth="1"/>
    <col min="14348" max="14349" width="11.5703125" style="1" customWidth="1"/>
    <col min="14350" max="14350" width="10.7109375" style="1" customWidth="1"/>
    <col min="14351" max="14351" width="10.5703125" style="1" customWidth="1"/>
    <col min="14352" max="14352" width="10.7109375" style="1" customWidth="1"/>
    <col min="14353" max="14353" width="15" style="1" customWidth="1"/>
    <col min="14354" max="14592" width="9.140625" style="1"/>
    <col min="14593" max="14593" width="28.42578125" style="1" customWidth="1"/>
    <col min="14594" max="14594" width="10.5703125" style="1" customWidth="1"/>
    <col min="14595" max="14595" width="0" style="1" hidden="1" customWidth="1"/>
    <col min="14596" max="14596" width="9.5703125" style="1" customWidth="1"/>
    <col min="14597" max="14597" width="10.7109375" style="1" customWidth="1"/>
    <col min="14598" max="14599" width="10.28515625" style="1" customWidth="1"/>
    <col min="14600" max="14600" width="0" style="1" hidden="1" customWidth="1"/>
    <col min="14601" max="14601" width="10.7109375" style="1" customWidth="1"/>
    <col min="14602" max="14602" width="10.85546875" style="1" customWidth="1"/>
    <col min="14603" max="14603" width="11.28515625" style="1" customWidth="1"/>
    <col min="14604" max="14605" width="11.5703125" style="1" customWidth="1"/>
    <col min="14606" max="14606" width="10.7109375" style="1" customWidth="1"/>
    <col min="14607" max="14607" width="10.5703125" style="1" customWidth="1"/>
    <col min="14608" max="14608" width="10.7109375" style="1" customWidth="1"/>
    <col min="14609" max="14609" width="15" style="1" customWidth="1"/>
    <col min="14610" max="14848" width="9.140625" style="1"/>
    <col min="14849" max="14849" width="28.42578125" style="1" customWidth="1"/>
    <col min="14850" max="14850" width="10.5703125" style="1" customWidth="1"/>
    <col min="14851" max="14851" width="0" style="1" hidden="1" customWidth="1"/>
    <col min="14852" max="14852" width="9.5703125" style="1" customWidth="1"/>
    <col min="14853" max="14853" width="10.7109375" style="1" customWidth="1"/>
    <col min="14854" max="14855" width="10.28515625" style="1" customWidth="1"/>
    <col min="14856" max="14856" width="0" style="1" hidden="1" customWidth="1"/>
    <col min="14857" max="14857" width="10.7109375" style="1" customWidth="1"/>
    <col min="14858" max="14858" width="10.85546875" style="1" customWidth="1"/>
    <col min="14859" max="14859" width="11.28515625" style="1" customWidth="1"/>
    <col min="14860" max="14861" width="11.5703125" style="1" customWidth="1"/>
    <col min="14862" max="14862" width="10.7109375" style="1" customWidth="1"/>
    <col min="14863" max="14863" width="10.5703125" style="1" customWidth="1"/>
    <col min="14864" max="14864" width="10.7109375" style="1" customWidth="1"/>
    <col min="14865" max="14865" width="15" style="1" customWidth="1"/>
    <col min="14866" max="15104" width="9.140625" style="1"/>
    <col min="15105" max="15105" width="28.42578125" style="1" customWidth="1"/>
    <col min="15106" max="15106" width="10.5703125" style="1" customWidth="1"/>
    <col min="15107" max="15107" width="0" style="1" hidden="1" customWidth="1"/>
    <col min="15108" max="15108" width="9.5703125" style="1" customWidth="1"/>
    <col min="15109" max="15109" width="10.7109375" style="1" customWidth="1"/>
    <col min="15110" max="15111" width="10.28515625" style="1" customWidth="1"/>
    <col min="15112" max="15112" width="0" style="1" hidden="1" customWidth="1"/>
    <col min="15113" max="15113" width="10.7109375" style="1" customWidth="1"/>
    <col min="15114" max="15114" width="10.85546875" style="1" customWidth="1"/>
    <col min="15115" max="15115" width="11.28515625" style="1" customWidth="1"/>
    <col min="15116" max="15117" width="11.5703125" style="1" customWidth="1"/>
    <col min="15118" max="15118" width="10.7109375" style="1" customWidth="1"/>
    <col min="15119" max="15119" width="10.5703125" style="1" customWidth="1"/>
    <col min="15120" max="15120" width="10.7109375" style="1" customWidth="1"/>
    <col min="15121" max="15121" width="15" style="1" customWidth="1"/>
    <col min="15122" max="15360" width="9.140625" style="1"/>
    <col min="15361" max="15361" width="28.42578125" style="1" customWidth="1"/>
    <col min="15362" max="15362" width="10.5703125" style="1" customWidth="1"/>
    <col min="15363" max="15363" width="0" style="1" hidden="1" customWidth="1"/>
    <col min="15364" max="15364" width="9.5703125" style="1" customWidth="1"/>
    <col min="15365" max="15365" width="10.7109375" style="1" customWidth="1"/>
    <col min="15366" max="15367" width="10.28515625" style="1" customWidth="1"/>
    <col min="15368" max="15368" width="0" style="1" hidden="1" customWidth="1"/>
    <col min="15369" max="15369" width="10.7109375" style="1" customWidth="1"/>
    <col min="15370" max="15370" width="10.85546875" style="1" customWidth="1"/>
    <col min="15371" max="15371" width="11.28515625" style="1" customWidth="1"/>
    <col min="15372" max="15373" width="11.5703125" style="1" customWidth="1"/>
    <col min="15374" max="15374" width="10.7109375" style="1" customWidth="1"/>
    <col min="15375" max="15375" width="10.5703125" style="1" customWidth="1"/>
    <col min="15376" max="15376" width="10.7109375" style="1" customWidth="1"/>
    <col min="15377" max="15377" width="15" style="1" customWidth="1"/>
    <col min="15378" max="15616" width="9.140625" style="1"/>
    <col min="15617" max="15617" width="28.42578125" style="1" customWidth="1"/>
    <col min="15618" max="15618" width="10.5703125" style="1" customWidth="1"/>
    <col min="15619" max="15619" width="0" style="1" hidden="1" customWidth="1"/>
    <col min="15620" max="15620" width="9.5703125" style="1" customWidth="1"/>
    <col min="15621" max="15621" width="10.7109375" style="1" customWidth="1"/>
    <col min="15622" max="15623" width="10.28515625" style="1" customWidth="1"/>
    <col min="15624" max="15624" width="0" style="1" hidden="1" customWidth="1"/>
    <col min="15625" max="15625" width="10.7109375" style="1" customWidth="1"/>
    <col min="15626" max="15626" width="10.85546875" style="1" customWidth="1"/>
    <col min="15627" max="15627" width="11.28515625" style="1" customWidth="1"/>
    <col min="15628" max="15629" width="11.5703125" style="1" customWidth="1"/>
    <col min="15630" max="15630" width="10.7109375" style="1" customWidth="1"/>
    <col min="15631" max="15631" width="10.5703125" style="1" customWidth="1"/>
    <col min="15632" max="15632" width="10.7109375" style="1" customWidth="1"/>
    <col min="15633" max="15633" width="15" style="1" customWidth="1"/>
    <col min="15634" max="15872" width="9.140625" style="1"/>
    <col min="15873" max="15873" width="28.42578125" style="1" customWidth="1"/>
    <col min="15874" max="15874" width="10.5703125" style="1" customWidth="1"/>
    <col min="15875" max="15875" width="0" style="1" hidden="1" customWidth="1"/>
    <col min="15876" max="15876" width="9.5703125" style="1" customWidth="1"/>
    <col min="15877" max="15877" width="10.7109375" style="1" customWidth="1"/>
    <col min="15878" max="15879" width="10.28515625" style="1" customWidth="1"/>
    <col min="15880" max="15880" width="0" style="1" hidden="1" customWidth="1"/>
    <col min="15881" max="15881" width="10.7109375" style="1" customWidth="1"/>
    <col min="15882" max="15882" width="10.85546875" style="1" customWidth="1"/>
    <col min="15883" max="15883" width="11.28515625" style="1" customWidth="1"/>
    <col min="15884" max="15885" width="11.5703125" style="1" customWidth="1"/>
    <col min="15886" max="15886" width="10.7109375" style="1" customWidth="1"/>
    <col min="15887" max="15887" width="10.5703125" style="1" customWidth="1"/>
    <col min="15888" max="15888" width="10.7109375" style="1" customWidth="1"/>
    <col min="15889" max="15889" width="15" style="1" customWidth="1"/>
    <col min="15890" max="16128" width="9.140625" style="1"/>
    <col min="16129" max="16129" width="28.42578125" style="1" customWidth="1"/>
    <col min="16130" max="16130" width="10.5703125" style="1" customWidth="1"/>
    <col min="16131" max="16131" width="0" style="1" hidden="1" customWidth="1"/>
    <col min="16132" max="16132" width="9.5703125" style="1" customWidth="1"/>
    <col min="16133" max="16133" width="10.7109375" style="1" customWidth="1"/>
    <col min="16134" max="16135" width="10.28515625" style="1" customWidth="1"/>
    <col min="16136" max="16136" width="0" style="1" hidden="1" customWidth="1"/>
    <col min="16137" max="16137" width="10.7109375" style="1" customWidth="1"/>
    <col min="16138" max="16138" width="10.85546875" style="1" customWidth="1"/>
    <col min="16139" max="16139" width="11.28515625" style="1" customWidth="1"/>
    <col min="16140" max="16141" width="11.5703125" style="1" customWidth="1"/>
    <col min="16142" max="16142" width="10.7109375" style="1" customWidth="1"/>
    <col min="16143" max="16143" width="10.5703125" style="1" customWidth="1"/>
    <col min="16144" max="16144" width="10.7109375" style="1" customWidth="1"/>
    <col min="16145" max="16145" width="15" style="1" customWidth="1"/>
    <col min="16146" max="16384" width="9.140625" style="1"/>
  </cols>
  <sheetData>
    <row r="1" spans="1:17" ht="11.25" customHeight="1" x14ac:dyDescent="0.2"/>
    <row r="2" spans="1:17" ht="18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8" customHeight="1" x14ac:dyDescent="0.25">
      <c r="A3" s="179" t="s">
        <v>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8" customHeight="1" x14ac:dyDescent="0.25">
      <c r="A4" s="2"/>
      <c r="B4" s="114"/>
      <c r="C4" s="73"/>
      <c r="D4" s="115"/>
      <c r="E4" s="115"/>
      <c r="F4" s="115"/>
      <c r="G4" s="115"/>
      <c r="H4" s="74"/>
      <c r="I4" s="115"/>
      <c r="J4" s="115"/>
      <c r="K4" s="115"/>
      <c r="L4" s="115"/>
      <c r="M4" s="115"/>
      <c r="N4" s="115"/>
      <c r="O4" s="115"/>
      <c r="P4" s="115"/>
      <c r="Q4" s="75" t="s">
        <v>37</v>
      </c>
    </row>
    <row r="5" spans="1:17" s="3" customFormat="1" ht="30.75" customHeight="1" x14ac:dyDescent="0.2">
      <c r="A5" s="90"/>
      <c r="B5" s="127" t="s">
        <v>49</v>
      </c>
      <c r="C5" s="128"/>
      <c r="D5" s="91" t="s">
        <v>39</v>
      </c>
      <c r="E5" s="91" t="s">
        <v>3</v>
      </c>
      <c r="F5" s="91" t="s">
        <v>4</v>
      </c>
      <c r="G5" s="91" t="s">
        <v>5</v>
      </c>
      <c r="H5" s="129"/>
      <c r="I5" s="93" t="s">
        <v>6</v>
      </c>
      <c r="J5" s="93" t="s">
        <v>7</v>
      </c>
      <c r="K5" s="91" t="s">
        <v>41</v>
      </c>
      <c r="L5" s="93" t="s">
        <v>9</v>
      </c>
      <c r="M5" s="91" t="s">
        <v>42</v>
      </c>
      <c r="N5" s="93" t="s">
        <v>10</v>
      </c>
      <c r="O5" s="93" t="s">
        <v>11</v>
      </c>
      <c r="P5" s="93" t="s">
        <v>12</v>
      </c>
      <c r="Q5" s="94" t="s">
        <v>13</v>
      </c>
    </row>
    <row r="6" spans="1:17" ht="18" customHeight="1" x14ac:dyDescent="0.2">
      <c r="A6" s="95" t="s">
        <v>14</v>
      </c>
      <c r="B6" s="116"/>
      <c r="C6" s="76"/>
      <c r="D6" s="76"/>
      <c r="E6" s="77"/>
      <c r="F6" s="76"/>
      <c r="G6" s="76"/>
      <c r="H6" s="76"/>
      <c r="I6" s="76"/>
      <c r="J6" s="76"/>
      <c r="K6" s="76"/>
      <c r="L6" s="76"/>
      <c r="M6" s="78"/>
      <c r="N6" s="76"/>
      <c r="O6" s="76"/>
      <c r="P6" s="78"/>
      <c r="Q6" s="79"/>
    </row>
    <row r="7" spans="1:17" ht="22.5" customHeight="1" x14ac:dyDescent="0.2">
      <c r="A7" s="96" t="s">
        <v>15</v>
      </c>
      <c r="B7" s="143">
        <v>165549.54199999999</v>
      </c>
      <c r="C7" s="80"/>
      <c r="D7" s="80">
        <v>33317</v>
      </c>
      <c r="E7" s="117">
        <v>155238.81099999999</v>
      </c>
      <c r="F7" s="118">
        <v>58985.830999999998</v>
      </c>
      <c r="G7" s="80">
        <v>241003</v>
      </c>
      <c r="H7" s="80"/>
      <c r="I7" s="118">
        <v>181023.82800000001</v>
      </c>
      <c r="J7" s="118">
        <v>739345.228</v>
      </c>
      <c r="K7" s="80">
        <v>1539989</v>
      </c>
      <c r="L7" s="118">
        <v>381004.89199999999</v>
      </c>
      <c r="M7" s="80">
        <v>242055</v>
      </c>
      <c r="N7" s="118">
        <v>562597.52099999995</v>
      </c>
      <c r="O7" s="118">
        <v>203850.02299999999</v>
      </c>
      <c r="P7" s="80">
        <v>1679298.3330000001</v>
      </c>
      <c r="Q7" s="81">
        <f t="shared" ref="Q7:Q24" si="0">SUM(B7:P7)</f>
        <v>6183258.0089999996</v>
      </c>
    </row>
    <row r="8" spans="1:17" ht="22.5" customHeight="1" x14ac:dyDescent="0.2">
      <c r="A8" s="96" t="s">
        <v>16</v>
      </c>
      <c r="B8" s="143">
        <v>16669.157999999999</v>
      </c>
      <c r="C8" s="80"/>
      <c r="D8" s="80">
        <v>22479</v>
      </c>
      <c r="E8" s="117">
        <v>10386.373</v>
      </c>
      <c r="F8" s="118">
        <v>8111.1679999999997</v>
      </c>
      <c r="G8" s="80">
        <v>176130</v>
      </c>
      <c r="H8" s="80"/>
      <c r="I8" s="118">
        <v>16124.441999999999</v>
      </c>
      <c r="J8" s="118">
        <v>346213.82199999999</v>
      </c>
      <c r="K8" s="80">
        <v>290315</v>
      </c>
      <c r="L8" s="118">
        <v>80304.718999999997</v>
      </c>
      <c r="M8" s="80">
        <v>15784</v>
      </c>
      <c r="N8" s="118">
        <v>270603.58500000002</v>
      </c>
      <c r="O8" s="118">
        <v>50394.68406</v>
      </c>
      <c r="P8" s="80">
        <v>878113.81400000001</v>
      </c>
      <c r="Q8" s="81">
        <f t="shared" si="0"/>
        <v>2181629.7650600001</v>
      </c>
    </row>
    <row r="9" spans="1:17" ht="22.5" customHeight="1" x14ac:dyDescent="0.2">
      <c r="A9" s="96" t="s">
        <v>17</v>
      </c>
      <c r="B9" s="80">
        <f t="shared" ref="B9:P9" si="1">B7-B8</f>
        <v>148880.38399999999</v>
      </c>
      <c r="C9" s="80"/>
      <c r="D9" s="80">
        <f t="shared" si="1"/>
        <v>10838</v>
      </c>
      <c r="E9" s="80">
        <f t="shared" si="1"/>
        <v>144852.43799999999</v>
      </c>
      <c r="F9" s="80">
        <f t="shared" si="1"/>
        <v>50874.663</v>
      </c>
      <c r="G9" s="80">
        <f t="shared" si="1"/>
        <v>64873</v>
      </c>
      <c r="H9" s="80"/>
      <c r="I9" s="80">
        <f t="shared" si="1"/>
        <v>164899.386</v>
      </c>
      <c r="J9" s="80">
        <f t="shared" si="1"/>
        <v>393131.40600000002</v>
      </c>
      <c r="K9" s="80">
        <f t="shared" si="1"/>
        <v>1249674</v>
      </c>
      <c r="L9" s="80">
        <f t="shared" si="1"/>
        <v>300700.17300000001</v>
      </c>
      <c r="M9" s="80">
        <f t="shared" si="1"/>
        <v>226271</v>
      </c>
      <c r="N9" s="80">
        <f t="shared" si="1"/>
        <v>291993.93599999993</v>
      </c>
      <c r="O9" s="80">
        <f t="shared" si="1"/>
        <v>153455.33893999999</v>
      </c>
      <c r="P9" s="80">
        <f t="shared" si="1"/>
        <v>801184.51900000009</v>
      </c>
      <c r="Q9" s="81">
        <f t="shared" si="0"/>
        <v>4001628.2439399995</v>
      </c>
    </row>
    <row r="10" spans="1:17" ht="26.25" customHeight="1" x14ac:dyDescent="0.2">
      <c r="A10" s="97" t="s">
        <v>50</v>
      </c>
      <c r="B10" s="119">
        <v>-2146.3449999999998</v>
      </c>
      <c r="C10" s="119"/>
      <c r="D10" s="119">
        <f>1726-3333</f>
        <v>-1607</v>
      </c>
      <c r="E10" s="119">
        <v>-9100.07</v>
      </c>
      <c r="F10" s="119">
        <v>859</v>
      </c>
      <c r="G10" s="119">
        <f>13109-33581</f>
        <v>-20472</v>
      </c>
      <c r="H10" s="119"/>
      <c r="I10" s="119">
        <v>-3010</v>
      </c>
      <c r="J10" s="119">
        <f>167088.056-217783.962</f>
        <v>-50695.905999999988</v>
      </c>
      <c r="K10" s="119">
        <f>558542-593829</f>
        <v>-35287</v>
      </c>
      <c r="L10" s="119">
        <v>11022</v>
      </c>
      <c r="M10" s="119">
        <f>84398-90508</f>
        <v>-6110</v>
      </c>
      <c r="N10" s="119">
        <v>-616</v>
      </c>
      <c r="O10" s="119">
        <v>-11947.509040000001</v>
      </c>
      <c r="P10" s="119">
        <v>-12842.786</v>
      </c>
      <c r="Q10" s="120">
        <f t="shared" si="0"/>
        <v>-141953.61603999999</v>
      </c>
    </row>
    <row r="11" spans="1:17" ht="22.5" customHeight="1" x14ac:dyDescent="0.2">
      <c r="A11" s="105" t="s">
        <v>18</v>
      </c>
      <c r="B11" s="80">
        <f t="shared" ref="B11:P11" si="2">B9+B10</f>
        <v>146734.03899999999</v>
      </c>
      <c r="C11" s="80"/>
      <c r="D11" s="80">
        <f t="shared" si="2"/>
        <v>9231</v>
      </c>
      <c r="E11" s="80">
        <f t="shared" si="2"/>
        <v>135752.36799999999</v>
      </c>
      <c r="F11" s="80">
        <f t="shared" si="2"/>
        <v>51733.663</v>
      </c>
      <c r="G11" s="80">
        <f t="shared" si="2"/>
        <v>44401</v>
      </c>
      <c r="H11" s="80"/>
      <c r="I11" s="80">
        <f t="shared" si="2"/>
        <v>161889.386</v>
      </c>
      <c r="J11" s="80">
        <f t="shared" si="2"/>
        <v>342435.5</v>
      </c>
      <c r="K11" s="80">
        <f t="shared" si="2"/>
        <v>1214387</v>
      </c>
      <c r="L11" s="80">
        <f t="shared" si="2"/>
        <v>311722.17300000001</v>
      </c>
      <c r="M11" s="80">
        <f t="shared" si="2"/>
        <v>220161</v>
      </c>
      <c r="N11" s="80">
        <f t="shared" si="2"/>
        <v>291377.93599999993</v>
      </c>
      <c r="O11" s="80">
        <f t="shared" si="2"/>
        <v>141507.82989999998</v>
      </c>
      <c r="P11" s="80">
        <f t="shared" si="2"/>
        <v>788341.73300000012</v>
      </c>
      <c r="Q11" s="81">
        <f t="shared" si="0"/>
        <v>3859674.6278999997</v>
      </c>
    </row>
    <row r="12" spans="1:17" ht="18" customHeight="1" x14ac:dyDescent="0.2">
      <c r="A12" s="101" t="s">
        <v>19</v>
      </c>
      <c r="B12" s="84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1"/>
    </row>
    <row r="13" spans="1:17" ht="22.5" customHeight="1" x14ac:dyDescent="0.2">
      <c r="A13" s="96" t="s">
        <v>20</v>
      </c>
      <c r="B13" s="143">
        <v>260360.52900000001</v>
      </c>
      <c r="C13" s="80"/>
      <c r="D13" s="80">
        <v>8503</v>
      </c>
      <c r="E13" s="117">
        <v>86772.255000000005</v>
      </c>
      <c r="F13" s="118">
        <v>30352.63</v>
      </c>
      <c r="G13" s="80">
        <v>97110</v>
      </c>
      <c r="H13" s="80"/>
      <c r="I13" s="118">
        <v>96753.516000000003</v>
      </c>
      <c r="J13" s="118">
        <v>202772.85</v>
      </c>
      <c r="K13" s="80">
        <v>659299</v>
      </c>
      <c r="L13" s="118">
        <v>261246.03899999999</v>
      </c>
      <c r="M13" s="80">
        <v>123559</v>
      </c>
      <c r="N13" s="118">
        <v>275236.43099999998</v>
      </c>
      <c r="O13" s="118">
        <v>242571.136</v>
      </c>
      <c r="P13" s="80">
        <v>728851.72100000002</v>
      </c>
      <c r="Q13" s="81">
        <f t="shared" si="0"/>
        <v>3073388.1069999994</v>
      </c>
    </row>
    <row r="14" spans="1:17" ht="22.5" customHeight="1" x14ac:dyDescent="0.2">
      <c r="A14" s="96" t="s">
        <v>16</v>
      </c>
      <c r="B14" s="143">
        <v>1524.4849999999999</v>
      </c>
      <c r="C14" s="80"/>
      <c r="D14" s="80">
        <v>5680</v>
      </c>
      <c r="E14" s="117">
        <v>11916.55</v>
      </c>
      <c r="F14" s="118">
        <v>4678.3119999999999</v>
      </c>
      <c r="G14" s="80">
        <v>67674</v>
      </c>
      <c r="H14" s="80"/>
      <c r="I14" s="118">
        <v>21259.357</v>
      </c>
      <c r="J14" s="118">
        <v>42457.5</v>
      </c>
      <c r="K14" s="80">
        <v>35577</v>
      </c>
      <c r="L14" s="118">
        <v>152757.747</v>
      </c>
      <c r="M14" s="80">
        <v>13572</v>
      </c>
      <c r="N14" s="118">
        <v>98305.46</v>
      </c>
      <c r="O14" s="118">
        <v>174648.48843999999</v>
      </c>
      <c r="P14" s="80">
        <v>330839.43400000001</v>
      </c>
      <c r="Q14" s="81">
        <f t="shared" si="0"/>
        <v>960890.33344000007</v>
      </c>
    </row>
    <row r="15" spans="1:17" ht="22.5" customHeight="1" x14ac:dyDescent="0.2">
      <c r="A15" s="96" t="s">
        <v>21</v>
      </c>
      <c r="B15" s="80">
        <f t="shared" ref="B15:P15" si="3">B13-B14</f>
        <v>258836.04400000002</v>
      </c>
      <c r="C15" s="80"/>
      <c r="D15" s="80">
        <f t="shared" si="3"/>
        <v>2823</v>
      </c>
      <c r="E15" s="80">
        <f t="shared" si="3"/>
        <v>74855.705000000002</v>
      </c>
      <c r="F15" s="80">
        <f t="shared" si="3"/>
        <v>25674.317999999999</v>
      </c>
      <c r="G15" s="80">
        <f t="shared" si="3"/>
        <v>29436</v>
      </c>
      <c r="H15" s="80"/>
      <c r="I15" s="80">
        <f t="shared" si="3"/>
        <v>75494.159</v>
      </c>
      <c r="J15" s="80">
        <f t="shared" si="3"/>
        <v>160315.35</v>
      </c>
      <c r="K15" s="80">
        <f t="shared" si="3"/>
        <v>623722</v>
      </c>
      <c r="L15" s="80">
        <f t="shared" si="3"/>
        <v>108488.29199999999</v>
      </c>
      <c r="M15" s="80">
        <f t="shared" si="3"/>
        <v>109987</v>
      </c>
      <c r="N15" s="80">
        <f t="shared" si="3"/>
        <v>176930.97099999996</v>
      </c>
      <c r="O15" s="80">
        <f t="shared" si="3"/>
        <v>67922.647560000012</v>
      </c>
      <c r="P15" s="80">
        <f t="shared" si="3"/>
        <v>398012.28700000001</v>
      </c>
      <c r="Q15" s="81">
        <f t="shared" si="0"/>
        <v>2112497.7735599997</v>
      </c>
    </row>
    <row r="16" spans="1:17" ht="27.75" customHeight="1" x14ac:dyDescent="0.2">
      <c r="A16" s="97" t="s">
        <v>51</v>
      </c>
      <c r="B16" s="143">
        <v>-22600.365000000002</v>
      </c>
      <c r="C16" s="119"/>
      <c r="D16" s="80">
        <f>1199-666</f>
        <v>533</v>
      </c>
      <c r="E16" s="117">
        <v>14809.412</v>
      </c>
      <c r="F16" s="119">
        <v>3159</v>
      </c>
      <c r="G16" s="119">
        <f>9848-5277</f>
        <v>4571</v>
      </c>
      <c r="H16" s="119"/>
      <c r="I16" s="80">
        <v>1512</v>
      </c>
      <c r="J16" s="80">
        <f>160781.259-135048.525</f>
        <v>25732.733999999997</v>
      </c>
      <c r="K16" s="119">
        <f>590447-582859</f>
        <v>7588</v>
      </c>
      <c r="L16" s="80">
        <v>22782</v>
      </c>
      <c r="M16" s="119">
        <f>53298-42006</f>
        <v>11292</v>
      </c>
      <c r="N16" s="119">
        <v>-28936</v>
      </c>
      <c r="O16" s="118">
        <v>27600.288310000004</v>
      </c>
      <c r="P16" s="80">
        <v>37181.101999999999</v>
      </c>
      <c r="Q16" s="81">
        <f t="shared" si="0"/>
        <v>105224.17130999999</v>
      </c>
    </row>
    <row r="17" spans="1:17" ht="22.5" customHeight="1" x14ac:dyDescent="0.2">
      <c r="A17" s="105" t="s">
        <v>22</v>
      </c>
      <c r="B17" s="80">
        <f t="shared" ref="B17:P17" si="4">B15+B16</f>
        <v>236235.67900000003</v>
      </c>
      <c r="C17" s="80"/>
      <c r="D17" s="80">
        <f t="shared" si="4"/>
        <v>3356</v>
      </c>
      <c r="E17" s="80">
        <f t="shared" si="4"/>
        <v>89665.116999999998</v>
      </c>
      <c r="F17" s="80">
        <f t="shared" si="4"/>
        <v>28833.317999999999</v>
      </c>
      <c r="G17" s="80">
        <f t="shared" si="4"/>
        <v>34007</v>
      </c>
      <c r="H17" s="80"/>
      <c r="I17" s="80">
        <f t="shared" si="4"/>
        <v>77006.159</v>
      </c>
      <c r="J17" s="80">
        <f t="shared" si="4"/>
        <v>186048.084</v>
      </c>
      <c r="K17" s="80">
        <f t="shared" si="4"/>
        <v>631310</v>
      </c>
      <c r="L17" s="80">
        <f t="shared" si="4"/>
        <v>131270.29199999999</v>
      </c>
      <c r="M17" s="80">
        <f t="shared" si="4"/>
        <v>121279</v>
      </c>
      <c r="N17" s="80">
        <f t="shared" si="4"/>
        <v>147994.97099999996</v>
      </c>
      <c r="O17" s="80">
        <f t="shared" si="4"/>
        <v>95522.935870000016</v>
      </c>
      <c r="P17" s="80">
        <f t="shared" si="4"/>
        <v>435193.38900000002</v>
      </c>
      <c r="Q17" s="81">
        <f t="shared" si="0"/>
        <v>2217721.9448699998</v>
      </c>
    </row>
    <row r="18" spans="1:17" ht="18" customHeight="1" x14ac:dyDescent="0.2">
      <c r="A18" s="101" t="s">
        <v>23</v>
      </c>
      <c r="B18" s="84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1"/>
    </row>
    <row r="19" spans="1:17" ht="22.5" customHeight="1" x14ac:dyDescent="0.2">
      <c r="A19" s="96" t="s">
        <v>24</v>
      </c>
      <c r="B19" s="143">
        <v>36241.737999999998</v>
      </c>
      <c r="C19" s="80"/>
      <c r="D19" s="80">
        <v>9162</v>
      </c>
      <c r="E19" s="117">
        <v>1238.431</v>
      </c>
      <c r="F19" s="118">
        <v>1785.366</v>
      </c>
      <c r="G19" s="80">
        <v>39451</v>
      </c>
      <c r="H19" s="80"/>
      <c r="I19" s="118">
        <v>2653.826</v>
      </c>
      <c r="J19" s="118">
        <v>53604.106</v>
      </c>
      <c r="K19" s="80">
        <v>66012</v>
      </c>
      <c r="L19" s="118">
        <v>6946.4219999999996</v>
      </c>
      <c r="M19" s="80">
        <v>3708</v>
      </c>
      <c r="N19" s="118">
        <v>40970.921000000002</v>
      </c>
      <c r="O19" s="118">
        <v>11235.22356</v>
      </c>
      <c r="P19" s="80">
        <v>206156.908</v>
      </c>
      <c r="Q19" s="81">
        <f t="shared" si="0"/>
        <v>479165.94156000001</v>
      </c>
    </row>
    <row r="20" spans="1:17" ht="22.5" customHeight="1" x14ac:dyDescent="0.2">
      <c r="A20" s="97" t="s">
        <v>25</v>
      </c>
      <c r="B20" s="143">
        <v>4848.884</v>
      </c>
      <c r="C20" s="80"/>
      <c r="D20" s="80">
        <v>666</v>
      </c>
      <c r="E20" s="117">
        <v>8592.7060000000001</v>
      </c>
      <c r="F20" s="118">
        <v>7587.8770000000004</v>
      </c>
      <c r="G20" s="80">
        <v>20793</v>
      </c>
      <c r="H20" s="80"/>
      <c r="I20" s="118">
        <v>15141.393</v>
      </c>
      <c r="J20" s="118">
        <v>67734.726999999999</v>
      </c>
      <c r="K20" s="80">
        <v>132642</v>
      </c>
      <c r="L20" s="118">
        <v>48989.555</v>
      </c>
      <c r="M20" s="80">
        <v>23549</v>
      </c>
      <c r="N20" s="118">
        <v>23207.710999999999</v>
      </c>
      <c r="O20" s="118">
        <v>13965.205769999999</v>
      </c>
      <c r="P20" s="80">
        <v>161770.12899999999</v>
      </c>
      <c r="Q20" s="81">
        <f t="shared" si="0"/>
        <v>529488.18776999996</v>
      </c>
    </row>
    <row r="21" spans="1:17" ht="22.5" customHeight="1" x14ac:dyDescent="0.2">
      <c r="A21" s="105" t="s">
        <v>26</v>
      </c>
      <c r="B21" s="80">
        <f t="shared" ref="B21:P21" si="5">B19-B20</f>
        <v>31392.853999999999</v>
      </c>
      <c r="C21" s="119"/>
      <c r="D21" s="80">
        <f t="shared" si="5"/>
        <v>8496</v>
      </c>
      <c r="E21" s="119">
        <f t="shared" si="5"/>
        <v>-7354.2749999999996</v>
      </c>
      <c r="F21" s="119">
        <f t="shared" si="5"/>
        <v>-5802.5110000000004</v>
      </c>
      <c r="G21" s="119">
        <f t="shared" si="5"/>
        <v>18658</v>
      </c>
      <c r="H21" s="119"/>
      <c r="I21" s="119">
        <f t="shared" si="5"/>
        <v>-12487.566999999999</v>
      </c>
      <c r="J21" s="119">
        <f t="shared" si="5"/>
        <v>-14130.620999999999</v>
      </c>
      <c r="K21" s="119">
        <f t="shared" si="5"/>
        <v>-66630</v>
      </c>
      <c r="L21" s="119">
        <f t="shared" si="5"/>
        <v>-42043.133000000002</v>
      </c>
      <c r="M21" s="119">
        <f t="shared" si="5"/>
        <v>-19841</v>
      </c>
      <c r="N21" s="80">
        <f t="shared" si="5"/>
        <v>17763.210000000003</v>
      </c>
      <c r="O21" s="119">
        <f t="shared" si="5"/>
        <v>-2729.9822099999983</v>
      </c>
      <c r="P21" s="80">
        <f t="shared" si="5"/>
        <v>44386.77900000001</v>
      </c>
      <c r="Q21" s="120">
        <f>SUM(B21:P21)</f>
        <v>-50322.246209999983</v>
      </c>
    </row>
    <row r="22" spans="1:17" ht="18" customHeight="1" x14ac:dyDescent="0.2">
      <c r="A22" s="112" t="s">
        <v>27</v>
      </c>
      <c r="B22" s="143">
        <v>11489.574000000001</v>
      </c>
      <c r="C22" s="80"/>
      <c r="D22" s="80">
        <v>11902</v>
      </c>
      <c r="E22" s="117">
        <v>29693.77</v>
      </c>
      <c r="F22" s="80">
        <v>12215</v>
      </c>
      <c r="G22" s="80">
        <v>29900</v>
      </c>
      <c r="H22" s="80"/>
      <c r="I22" s="80">
        <v>37660</v>
      </c>
      <c r="J22" s="80">
        <v>83676.328999999998</v>
      </c>
      <c r="K22" s="80">
        <v>291906</v>
      </c>
      <c r="L22" s="80">
        <v>37391</v>
      </c>
      <c r="M22" s="80">
        <v>65022</v>
      </c>
      <c r="N22" s="80">
        <v>108671</v>
      </c>
      <c r="O22" s="118">
        <v>50070.804259999997</v>
      </c>
      <c r="P22" s="80">
        <v>314945.212</v>
      </c>
      <c r="Q22" s="81">
        <f t="shared" si="0"/>
        <v>1084542.6892599999</v>
      </c>
    </row>
    <row r="23" spans="1:17" ht="25.5" customHeight="1" x14ac:dyDescent="0.2">
      <c r="A23" s="112" t="s">
        <v>28</v>
      </c>
      <c r="B23" s="119">
        <f t="shared" ref="B23:G23" si="6">B11-B17+B21-B22</f>
        <v>-69598.360000000044</v>
      </c>
      <c r="C23" s="119"/>
      <c r="D23" s="119">
        <f t="shared" si="6"/>
        <v>2469</v>
      </c>
      <c r="E23" s="119">
        <f t="shared" si="6"/>
        <v>9039.2059999999874</v>
      </c>
      <c r="F23" s="119">
        <f t="shared" si="6"/>
        <v>4882.8340000000026</v>
      </c>
      <c r="G23" s="119">
        <f t="shared" si="6"/>
        <v>-848</v>
      </c>
      <c r="H23" s="119"/>
      <c r="I23" s="119">
        <f t="shared" ref="I23:P23" si="7">I11-I17+I21-I22</f>
        <v>34735.660000000003</v>
      </c>
      <c r="J23" s="119">
        <f t="shared" si="7"/>
        <v>58580.465999999986</v>
      </c>
      <c r="K23" s="119">
        <f t="shared" si="7"/>
        <v>224541</v>
      </c>
      <c r="L23" s="80">
        <f t="shared" si="7"/>
        <v>101017.74800000002</v>
      </c>
      <c r="M23" s="80">
        <f t="shared" si="7"/>
        <v>14019</v>
      </c>
      <c r="N23" s="119">
        <f t="shared" si="7"/>
        <v>52475.174999999959</v>
      </c>
      <c r="O23" s="119">
        <f t="shared" si="7"/>
        <v>-6815.8924400000324</v>
      </c>
      <c r="P23" s="80">
        <f t="shared" si="7"/>
        <v>82589.911000000138</v>
      </c>
      <c r="Q23" s="120">
        <f t="shared" si="0"/>
        <v>507087.74756000005</v>
      </c>
    </row>
    <row r="24" spans="1:17" ht="17.25" customHeight="1" x14ac:dyDescent="0.2">
      <c r="A24" s="112" t="s">
        <v>29</v>
      </c>
      <c r="B24" s="143">
        <v>2263.3850000000002</v>
      </c>
      <c r="C24" s="80"/>
      <c r="D24" s="80">
        <v>1614</v>
      </c>
      <c r="E24" s="117">
        <v>17261.673999999999</v>
      </c>
      <c r="F24" s="80">
        <v>12898</v>
      </c>
      <c r="G24" s="80">
        <v>1336</v>
      </c>
      <c r="H24" s="80"/>
      <c r="I24" s="80">
        <v>8551</v>
      </c>
      <c r="J24" s="80">
        <v>31831.771000000001</v>
      </c>
      <c r="K24" s="80">
        <v>101379</v>
      </c>
      <c r="L24" s="80">
        <v>54185</v>
      </c>
      <c r="M24" s="80">
        <v>3536</v>
      </c>
      <c r="N24" s="80">
        <v>29688</v>
      </c>
      <c r="O24" s="118">
        <v>24313.033829999997</v>
      </c>
      <c r="P24" s="80">
        <v>113437.62300000001</v>
      </c>
      <c r="Q24" s="81">
        <f t="shared" si="0"/>
        <v>402294.48683000001</v>
      </c>
    </row>
    <row r="25" spans="1:17" ht="45" customHeight="1" x14ac:dyDescent="0.2">
      <c r="A25" s="112" t="s">
        <v>30</v>
      </c>
      <c r="B25" s="122">
        <f t="shared" ref="B25:G25" si="8">B23+B24</f>
        <v>-67334.975000000049</v>
      </c>
      <c r="C25" s="121"/>
      <c r="D25" s="122">
        <f t="shared" si="8"/>
        <v>4083</v>
      </c>
      <c r="E25" s="122">
        <f t="shared" si="8"/>
        <v>26300.879999999986</v>
      </c>
      <c r="F25" s="121">
        <f t="shared" si="8"/>
        <v>17780.834000000003</v>
      </c>
      <c r="G25" s="122">
        <f t="shared" si="8"/>
        <v>488</v>
      </c>
      <c r="H25" s="122"/>
      <c r="I25" s="121">
        <f>SUM(I23:I24)</f>
        <v>43286.66</v>
      </c>
      <c r="J25" s="121">
        <f>SUM(J23:J24)</f>
        <v>90412.236999999994</v>
      </c>
      <c r="K25" s="121">
        <f t="shared" ref="K25:P25" si="9">K23+K24</f>
        <v>325920</v>
      </c>
      <c r="L25" s="121">
        <f t="shared" si="9"/>
        <v>155202.74800000002</v>
      </c>
      <c r="M25" s="121">
        <f t="shared" si="9"/>
        <v>17555</v>
      </c>
      <c r="N25" s="121">
        <f t="shared" si="9"/>
        <v>82163.174999999959</v>
      </c>
      <c r="O25" s="121">
        <f t="shared" si="9"/>
        <v>17497.141389999964</v>
      </c>
      <c r="P25" s="121">
        <f t="shared" si="9"/>
        <v>196027.53400000016</v>
      </c>
      <c r="Q25" s="123">
        <f>SUM(B25:P25)</f>
        <v>909382.23439000011</v>
      </c>
    </row>
    <row r="26" spans="1:17" ht="16.5" customHeight="1" x14ac:dyDescent="0.2">
      <c r="A26" s="85"/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/>
    </row>
    <row r="27" spans="1:17" ht="16.5" customHeight="1" x14ac:dyDescent="0.2">
      <c r="A27" s="154" t="s">
        <v>85</v>
      </c>
    </row>
    <row r="28" spans="1:17" ht="16.5" customHeight="1" x14ac:dyDescent="0.2"/>
  </sheetData>
  <mergeCells count="2">
    <mergeCell ref="A2:Q2"/>
    <mergeCell ref="A3:Q3"/>
  </mergeCells>
  <printOptions horizontalCentered="1"/>
  <pageMargins left="0.5" right="0.5" top="0.36" bottom="0.36" header="0.25" footer="0.25"/>
  <pageSetup paperSize="9" scale="5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29"/>
  <sheetViews>
    <sheetView showGridLines="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A27" sqref="A27"/>
    </sheetView>
  </sheetViews>
  <sheetFormatPr defaultRowHeight="12.75" x14ac:dyDescent="0.2"/>
  <cols>
    <col min="1" max="1" width="28.42578125" style="1" customWidth="1"/>
    <col min="2" max="2" width="10.5703125" style="23" customWidth="1"/>
    <col min="3" max="3" width="10.7109375" style="23" customWidth="1"/>
    <col min="4" max="4" width="9.5703125" style="23" customWidth="1"/>
    <col min="5" max="5" width="10.7109375" style="23" customWidth="1"/>
    <col min="6" max="7" width="10.28515625" style="23" customWidth="1"/>
    <col min="8" max="8" width="3.5703125" style="23" hidden="1" customWidth="1"/>
    <col min="9" max="9" width="10.7109375" style="23" customWidth="1"/>
    <col min="10" max="10" width="10.85546875" style="23" customWidth="1"/>
    <col min="11" max="11" width="11.28515625" style="23" customWidth="1"/>
    <col min="12" max="13" width="11.5703125" style="70" customWidth="1"/>
    <col min="14" max="14" width="10.7109375" style="23" customWidth="1"/>
    <col min="15" max="15" width="10.5703125" style="23" customWidth="1"/>
    <col min="16" max="16" width="10.7109375" style="23" customWidth="1"/>
    <col min="17" max="17" width="16.140625" style="71" customWidth="1"/>
    <col min="18" max="256" width="9.140625" style="1"/>
    <col min="257" max="257" width="28.42578125" style="1" customWidth="1"/>
    <col min="258" max="258" width="10.5703125" style="1" customWidth="1"/>
    <col min="259" max="259" width="10.7109375" style="1" customWidth="1"/>
    <col min="260" max="260" width="9.5703125" style="1" customWidth="1"/>
    <col min="261" max="261" width="10.7109375" style="1" customWidth="1"/>
    <col min="262" max="263" width="10.28515625" style="1" customWidth="1"/>
    <col min="264" max="264" width="3.5703125" style="1" customWidth="1"/>
    <col min="265" max="265" width="10.7109375" style="1" customWidth="1"/>
    <col min="266" max="266" width="10.85546875" style="1" customWidth="1"/>
    <col min="267" max="267" width="11.28515625" style="1" customWidth="1"/>
    <col min="268" max="269" width="11.5703125" style="1" customWidth="1"/>
    <col min="270" max="270" width="10.7109375" style="1" customWidth="1"/>
    <col min="271" max="271" width="10.5703125" style="1" customWidth="1"/>
    <col min="272" max="272" width="10.7109375" style="1" customWidth="1"/>
    <col min="273" max="273" width="16.140625" style="1" customWidth="1"/>
    <col min="274" max="512" width="9.140625" style="1"/>
    <col min="513" max="513" width="28.42578125" style="1" customWidth="1"/>
    <col min="514" max="514" width="10.5703125" style="1" customWidth="1"/>
    <col min="515" max="515" width="10.7109375" style="1" customWidth="1"/>
    <col min="516" max="516" width="9.5703125" style="1" customWidth="1"/>
    <col min="517" max="517" width="10.7109375" style="1" customWidth="1"/>
    <col min="518" max="519" width="10.28515625" style="1" customWidth="1"/>
    <col min="520" max="520" width="3.5703125" style="1" customWidth="1"/>
    <col min="521" max="521" width="10.7109375" style="1" customWidth="1"/>
    <col min="522" max="522" width="10.85546875" style="1" customWidth="1"/>
    <col min="523" max="523" width="11.28515625" style="1" customWidth="1"/>
    <col min="524" max="525" width="11.5703125" style="1" customWidth="1"/>
    <col min="526" max="526" width="10.7109375" style="1" customWidth="1"/>
    <col min="527" max="527" width="10.5703125" style="1" customWidth="1"/>
    <col min="528" max="528" width="10.7109375" style="1" customWidth="1"/>
    <col min="529" max="529" width="16.140625" style="1" customWidth="1"/>
    <col min="530" max="768" width="9.140625" style="1"/>
    <col min="769" max="769" width="28.42578125" style="1" customWidth="1"/>
    <col min="770" max="770" width="10.5703125" style="1" customWidth="1"/>
    <col min="771" max="771" width="10.7109375" style="1" customWidth="1"/>
    <col min="772" max="772" width="9.5703125" style="1" customWidth="1"/>
    <col min="773" max="773" width="10.7109375" style="1" customWidth="1"/>
    <col min="774" max="775" width="10.28515625" style="1" customWidth="1"/>
    <col min="776" max="776" width="3.5703125" style="1" customWidth="1"/>
    <col min="777" max="777" width="10.7109375" style="1" customWidth="1"/>
    <col min="778" max="778" width="10.85546875" style="1" customWidth="1"/>
    <col min="779" max="779" width="11.28515625" style="1" customWidth="1"/>
    <col min="780" max="781" width="11.5703125" style="1" customWidth="1"/>
    <col min="782" max="782" width="10.7109375" style="1" customWidth="1"/>
    <col min="783" max="783" width="10.5703125" style="1" customWidth="1"/>
    <col min="784" max="784" width="10.7109375" style="1" customWidth="1"/>
    <col min="785" max="785" width="16.140625" style="1" customWidth="1"/>
    <col min="786" max="1024" width="9.140625" style="1"/>
    <col min="1025" max="1025" width="28.42578125" style="1" customWidth="1"/>
    <col min="1026" max="1026" width="10.5703125" style="1" customWidth="1"/>
    <col min="1027" max="1027" width="10.7109375" style="1" customWidth="1"/>
    <col min="1028" max="1028" width="9.5703125" style="1" customWidth="1"/>
    <col min="1029" max="1029" width="10.7109375" style="1" customWidth="1"/>
    <col min="1030" max="1031" width="10.28515625" style="1" customWidth="1"/>
    <col min="1032" max="1032" width="3.5703125" style="1" customWidth="1"/>
    <col min="1033" max="1033" width="10.7109375" style="1" customWidth="1"/>
    <col min="1034" max="1034" width="10.85546875" style="1" customWidth="1"/>
    <col min="1035" max="1035" width="11.28515625" style="1" customWidth="1"/>
    <col min="1036" max="1037" width="11.5703125" style="1" customWidth="1"/>
    <col min="1038" max="1038" width="10.7109375" style="1" customWidth="1"/>
    <col min="1039" max="1039" width="10.5703125" style="1" customWidth="1"/>
    <col min="1040" max="1040" width="10.7109375" style="1" customWidth="1"/>
    <col min="1041" max="1041" width="16.140625" style="1" customWidth="1"/>
    <col min="1042" max="1280" width="9.140625" style="1"/>
    <col min="1281" max="1281" width="28.42578125" style="1" customWidth="1"/>
    <col min="1282" max="1282" width="10.5703125" style="1" customWidth="1"/>
    <col min="1283" max="1283" width="10.7109375" style="1" customWidth="1"/>
    <col min="1284" max="1284" width="9.5703125" style="1" customWidth="1"/>
    <col min="1285" max="1285" width="10.7109375" style="1" customWidth="1"/>
    <col min="1286" max="1287" width="10.28515625" style="1" customWidth="1"/>
    <col min="1288" max="1288" width="3.5703125" style="1" customWidth="1"/>
    <col min="1289" max="1289" width="10.7109375" style="1" customWidth="1"/>
    <col min="1290" max="1290" width="10.85546875" style="1" customWidth="1"/>
    <col min="1291" max="1291" width="11.28515625" style="1" customWidth="1"/>
    <col min="1292" max="1293" width="11.5703125" style="1" customWidth="1"/>
    <col min="1294" max="1294" width="10.7109375" style="1" customWidth="1"/>
    <col min="1295" max="1295" width="10.5703125" style="1" customWidth="1"/>
    <col min="1296" max="1296" width="10.7109375" style="1" customWidth="1"/>
    <col min="1297" max="1297" width="16.140625" style="1" customWidth="1"/>
    <col min="1298" max="1536" width="9.140625" style="1"/>
    <col min="1537" max="1537" width="28.42578125" style="1" customWidth="1"/>
    <col min="1538" max="1538" width="10.5703125" style="1" customWidth="1"/>
    <col min="1539" max="1539" width="10.7109375" style="1" customWidth="1"/>
    <col min="1540" max="1540" width="9.5703125" style="1" customWidth="1"/>
    <col min="1541" max="1541" width="10.7109375" style="1" customWidth="1"/>
    <col min="1542" max="1543" width="10.28515625" style="1" customWidth="1"/>
    <col min="1544" max="1544" width="3.5703125" style="1" customWidth="1"/>
    <col min="1545" max="1545" width="10.7109375" style="1" customWidth="1"/>
    <col min="1546" max="1546" width="10.85546875" style="1" customWidth="1"/>
    <col min="1547" max="1547" width="11.28515625" style="1" customWidth="1"/>
    <col min="1548" max="1549" width="11.5703125" style="1" customWidth="1"/>
    <col min="1550" max="1550" width="10.7109375" style="1" customWidth="1"/>
    <col min="1551" max="1551" width="10.5703125" style="1" customWidth="1"/>
    <col min="1552" max="1552" width="10.7109375" style="1" customWidth="1"/>
    <col min="1553" max="1553" width="16.140625" style="1" customWidth="1"/>
    <col min="1554" max="1792" width="9.140625" style="1"/>
    <col min="1793" max="1793" width="28.42578125" style="1" customWidth="1"/>
    <col min="1794" max="1794" width="10.5703125" style="1" customWidth="1"/>
    <col min="1795" max="1795" width="10.7109375" style="1" customWidth="1"/>
    <col min="1796" max="1796" width="9.5703125" style="1" customWidth="1"/>
    <col min="1797" max="1797" width="10.7109375" style="1" customWidth="1"/>
    <col min="1798" max="1799" width="10.28515625" style="1" customWidth="1"/>
    <col min="1800" max="1800" width="3.5703125" style="1" customWidth="1"/>
    <col min="1801" max="1801" width="10.7109375" style="1" customWidth="1"/>
    <col min="1802" max="1802" width="10.85546875" style="1" customWidth="1"/>
    <col min="1803" max="1803" width="11.28515625" style="1" customWidth="1"/>
    <col min="1804" max="1805" width="11.5703125" style="1" customWidth="1"/>
    <col min="1806" max="1806" width="10.7109375" style="1" customWidth="1"/>
    <col min="1807" max="1807" width="10.5703125" style="1" customWidth="1"/>
    <col min="1808" max="1808" width="10.7109375" style="1" customWidth="1"/>
    <col min="1809" max="1809" width="16.140625" style="1" customWidth="1"/>
    <col min="1810" max="2048" width="9.140625" style="1"/>
    <col min="2049" max="2049" width="28.42578125" style="1" customWidth="1"/>
    <col min="2050" max="2050" width="10.5703125" style="1" customWidth="1"/>
    <col min="2051" max="2051" width="10.7109375" style="1" customWidth="1"/>
    <col min="2052" max="2052" width="9.5703125" style="1" customWidth="1"/>
    <col min="2053" max="2053" width="10.7109375" style="1" customWidth="1"/>
    <col min="2054" max="2055" width="10.28515625" style="1" customWidth="1"/>
    <col min="2056" max="2056" width="3.5703125" style="1" customWidth="1"/>
    <col min="2057" max="2057" width="10.7109375" style="1" customWidth="1"/>
    <col min="2058" max="2058" width="10.85546875" style="1" customWidth="1"/>
    <col min="2059" max="2059" width="11.28515625" style="1" customWidth="1"/>
    <col min="2060" max="2061" width="11.5703125" style="1" customWidth="1"/>
    <col min="2062" max="2062" width="10.7109375" style="1" customWidth="1"/>
    <col min="2063" max="2063" width="10.5703125" style="1" customWidth="1"/>
    <col min="2064" max="2064" width="10.7109375" style="1" customWidth="1"/>
    <col min="2065" max="2065" width="16.140625" style="1" customWidth="1"/>
    <col min="2066" max="2304" width="9.140625" style="1"/>
    <col min="2305" max="2305" width="28.42578125" style="1" customWidth="1"/>
    <col min="2306" max="2306" width="10.5703125" style="1" customWidth="1"/>
    <col min="2307" max="2307" width="10.7109375" style="1" customWidth="1"/>
    <col min="2308" max="2308" width="9.5703125" style="1" customWidth="1"/>
    <col min="2309" max="2309" width="10.7109375" style="1" customWidth="1"/>
    <col min="2310" max="2311" width="10.28515625" style="1" customWidth="1"/>
    <col min="2312" max="2312" width="3.5703125" style="1" customWidth="1"/>
    <col min="2313" max="2313" width="10.7109375" style="1" customWidth="1"/>
    <col min="2314" max="2314" width="10.85546875" style="1" customWidth="1"/>
    <col min="2315" max="2315" width="11.28515625" style="1" customWidth="1"/>
    <col min="2316" max="2317" width="11.5703125" style="1" customWidth="1"/>
    <col min="2318" max="2318" width="10.7109375" style="1" customWidth="1"/>
    <col min="2319" max="2319" width="10.5703125" style="1" customWidth="1"/>
    <col min="2320" max="2320" width="10.7109375" style="1" customWidth="1"/>
    <col min="2321" max="2321" width="16.140625" style="1" customWidth="1"/>
    <col min="2322" max="2560" width="9.140625" style="1"/>
    <col min="2561" max="2561" width="28.42578125" style="1" customWidth="1"/>
    <col min="2562" max="2562" width="10.5703125" style="1" customWidth="1"/>
    <col min="2563" max="2563" width="10.7109375" style="1" customWidth="1"/>
    <col min="2564" max="2564" width="9.5703125" style="1" customWidth="1"/>
    <col min="2565" max="2565" width="10.7109375" style="1" customWidth="1"/>
    <col min="2566" max="2567" width="10.28515625" style="1" customWidth="1"/>
    <col min="2568" max="2568" width="3.5703125" style="1" customWidth="1"/>
    <col min="2569" max="2569" width="10.7109375" style="1" customWidth="1"/>
    <col min="2570" max="2570" width="10.85546875" style="1" customWidth="1"/>
    <col min="2571" max="2571" width="11.28515625" style="1" customWidth="1"/>
    <col min="2572" max="2573" width="11.5703125" style="1" customWidth="1"/>
    <col min="2574" max="2574" width="10.7109375" style="1" customWidth="1"/>
    <col min="2575" max="2575" width="10.5703125" style="1" customWidth="1"/>
    <col min="2576" max="2576" width="10.7109375" style="1" customWidth="1"/>
    <col min="2577" max="2577" width="16.140625" style="1" customWidth="1"/>
    <col min="2578" max="2816" width="9.140625" style="1"/>
    <col min="2817" max="2817" width="28.42578125" style="1" customWidth="1"/>
    <col min="2818" max="2818" width="10.5703125" style="1" customWidth="1"/>
    <col min="2819" max="2819" width="10.7109375" style="1" customWidth="1"/>
    <col min="2820" max="2820" width="9.5703125" style="1" customWidth="1"/>
    <col min="2821" max="2821" width="10.7109375" style="1" customWidth="1"/>
    <col min="2822" max="2823" width="10.28515625" style="1" customWidth="1"/>
    <col min="2824" max="2824" width="3.5703125" style="1" customWidth="1"/>
    <col min="2825" max="2825" width="10.7109375" style="1" customWidth="1"/>
    <col min="2826" max="2826" width="10.85546875" style="1" customWidth="1"/>
    <col min="2827" max="2827" width="11.28515625" style="1" customWidth="1"/>
    <col min="2828" max="2829" width="11.5703125" style="1" customWidth="1"/>
    <col min="2830" max="2830" width="10.7109375" style="1" customWidth="1"/>
    <col min="2831" max="2831" width="10.5703125" style="1" customWidth="1"/>
    <col min="2832" max="2832" width="10.7109375" style="1" customWidth="1"/>
    <col min="2833" max="2833" width="16.140625" style="1" customWidth="1"/>
    <col min="2834" max="3072" width="9.140625" style="1"/>
    <col min="3073" max="3073" width="28.42578125" style="1" customWidth="1"/>
    <col min="3074" max="3074" width="10.5703125" style="1" customWidth="1"/>
    <col min="3075" max="3075" width="10.7109375" style="1" customWidth="1"/>
    <col min="3076" max="3076" width="9.5703125" style="1" customWidth="1"/>
    <col min="3077" max="3077" width="10.7109375" style="1" customWidth="1"/>
    <col min="3078" max="3079" width="10.28515625" style="1" customWidth="1"/>
    <col min="3080" max="3080" width="3.5703125" style="1" customWidth="1"/>
    <col min="3081" max="3081" width="10.7109375" style="1" customWidth="1"/>
    <col min="3082" max="3082" width="10.85546875" style="1" customWidth="1"/>
    <col min="3083" max="3083" width="11.28515625" style="1" customWidth="1"/>
    <col min="3084" max="3085" width="11.5703125" style="1" customWidth="1"/>
    <col min="3086" max="3086" width="10.7109375" style="1" customWidth="1"/>
    <col min="3087" max="3087" width="10.5703125" style="1" customWidth="1"/>
    <col min="3088" max="3088" width="10.7109375" style="1" customWidth="1"/>
    <col min="3089" max="3089" width="16.140625" style="1" customWidth="1"/>
    <col min="3090" max="3328" width="9.140625" style="1"/>
    <col min="3329" max="3329" width="28.42578125" style="1" customWidth="1"/>
    <col min="3330" max="3330" width="10.5703125" style="1" customWidth="1"/>
    <col min="3331" max="3331" width="10.7109375" style="1" customWidth="1"/>
    <col min="3332" max="3332" width="9.5703125" style="1" customWidth="1"/>
    <col min="3333" max="3333" width="10.7109375" style="1" customWidth="1"/>
    <col min="3334" max="3335" width="10.28515625" style="1" customWidth="1"/>
    <col min="3336" max="3336" width="3.5703125" style="1" customWidth="1"/>
    <col min="3337" max="3337" width="10.7109375" style="1" customWidth="1"/>
    <col min="3338" max="3338" width="10.85546875" style="1" customWidth="1"/>
    <col min="3339" max="3339" width="11.28515625" style="1" customWidth="1"/>
    <col min="3340" max="3341" width="11.5703125" style="1" customWidth="1"/>
    <col min="3342" max="3342" width="10.7109375" style="1" customWidth="1"/>
    <col min="3343" max="3343" width="10.5703125" style="1" customWidth="1"/>
    <col min="3344" max="3344" width="10.7109375" style="1" customWidth="1"/>
    <col min="3345" max="3345" width="16.140625" style="1" customWidth="1"/>
    <col min="3346" max="3584" width="9.140625" style="1"/>
    <col min="3585" max="3585" width="28.42578125" style="1" customWidth="1"/>
    <col min="3586" max="3586" width="10.5703125" style="1" customWidth="1"/>
    <col min="3587" max="3587" width="10.7109375" style="1" customWidth="1"/>
    <col min="3588" max="3588" width="9.5703125" style="1" customWidth="1"/>
    <col min="3589" max="3589" width="10.7109375" style="1" customWidth="1"/>
    <col min="3590" max="3591" width="10.28515625" style="1" customWidth="1"/>
    <col min="3592" max="3592" width="3.5703125" style="1" customWidth="1"/>
    <col min="3593" max="3593" width="10.7109375" style="1" customWidth="1"/>
    <col min="3594" max="3594" width="10.85546875" style="1" customWidth="1"/>
    <col min="3595" max="3595" width="11.28515625" style="1" customWidth="1"/>
    <col min="3596" max="3597" width="11.5703125" style="1" customWidth="1"/>
    <col min="3598" max="3598" width="10.7109375" style="1" customWidth="1"/>
    <col min="3599" max="3599" width="10.5703125" style="1" customWidth="1"/>
    <col min="3600" max="3600" width="10.7109375" style="1" customWidth="1"/>
    <col min="3601" max="3601" width="16.140625" style="1" customWidth="1"/>
    <col min="3602" max="3840" width="9.140625" style="1"/>
    <col min="3841" max="3841" width="28.42578125" style="1" customWidth="1"/>
    <col min="3842" max="3842" width="10.5703125" style="1" customWidth="1"/>
    <col min="3843" max="3843" width="10.7109375" style="1" customWidth="1"/>
    <col min="3844" max="3844" width="9.5703125" style="1" customWidth="1"/>
    <col min="3845" max="3845" width="10.7109375" style="1" customWidth="1"/>
    <col min="3846" max="3847" width="10.28515625" style="1" customWidth="1"/>
    <col min="3848" max="3848" width="3.5703125" style="1" customWidth="1"/>
    <col min="3849" max="3849" width="10.7109375" style="1" customWidth="1"/>
    <col min="3850" max="3850" width="10.85546875" style="1" customWidth="1"/>
    <col min="3851" max="3851" width="11.28515625" style="1" customWidth="1"/>
    <col min="3852" max="3853" width="11.5703125" style="1" customWidth="1"/>
    <col min="3854" max="3854" width="10.7109375" style="1" customWidth="1"/>
    <col min="3855" max="3855" width="10.5703125" style="1" customWidth="1"/>
    <col min="3856" max="3856" width="10.7109375" style="1" customWidth="1"/>
    <col min="3857" max="3857" width="16.140625" style="1" customWidth="1"/>
    <col min="3858" max="4096" width="9.140625" style="1"/>
    <col min="4097" max="4097" width="28.42578125" style="1" customWidth="1"/>
    <col min="4098" max="4098" width="10.5703125" style="1" customWidth="1"/>
    <col min="4099" max="4099" width="10.7109375" style="1" customWidth="1"/>
    <col min="4100" max="4100" width="9.5703125" style="1" customWidth="1"/>
    <col min="4101" max="4101" width="10.7109375" style="1" customWidth="1"/>
    <col min="4102" max="4103" width="10.28515625" style="1" customWidth="1"/>
    <col min="4104" max="4104" width="3.5703125" style="1" customWidth="1"/>
    <col min="4105" max="4105" width="10.7109375" style="1" customWidth="1"/>
    <col min="4106" max="4106" width="10.85546875" style="1" customWidth="1"/>
    <col min="4107" max="4107" width="11.28515625" style="1" customWidth="1"/>
    <col min="4108" max="4109" width="11.5703125" style="1" customWidth="1"/>
    <col min="4110" max="4110" width="10.7109375" style="1" customWidth="1"/>
    <col min="4111" max="4111" width="10.5703125" style="1" customWidth="1"/>
    <col min="4112" max="4112" width="10.7109375" style="1" customWidth="1"/>
    <col min="4113" max="4113" width="16.140625" style="1" customWidth="1"/>
    <col min="4114" max="4352" width="9.140625" style="1"/>
    <col min="4353" max="4353" width="28.42578125" style="1" customWidth="1"/>
    <col min="4354" max="4354" width="10.5703125" style="1" customWidth="1"/>
    <col min="4355" max="4355" width="10.7109375" style="1" customWidth="1"/>
    <col min="4356" max="4356" width="9.5703125" style="1" customWidth="1"/>
    <col min="4357" max="4357" width="10.7109375" style="1" customWidth="1"/>
    <col min="4358" max="4359" width="10.28515625" style="1" customWidth="1"/>
    <col min="4360" max="4360" width="3.5703125" style="1" customWidth="1"/>
    <col min="4361" max="4361" width="10.7109375" style="1" customWidth="1"/>
    <col min="4362" max="4362" width="10.85546875" style="1" customWidth="1"/>
    <col min="4363" max="4363" width="11.28515625" style="1" customWidth="1"/>
    <col min="4364" max="4365" width="11.5703125" style="1" customWidth="1"/>
    <col min="4366" max="4366" width="10.7109375" style="1" customWidth="1"/>
    <col min="4367" max="4367" width="10.5703125" style="1" customWidth="1"/>
    <col min="4368" max="4368" width="10.7109375" style="1" customWidth="1"/>
    <col min="4369" max="4369" width="16.140625" style="1" customWidth="1"/>
    <col min="4370" max="4608" width="9.140625" style="1"/>
    <col min="4609" max="4609" width="28.42578125" style="1" customWidth="1"/>
    <col min="4610" max="4610" width="10.5703125" style="1" customWidth="1"/>
    <col min="4611" max="4611" width="10.7109375" style="1" customWidth="1"/>
    <col min="4612" max="4612" width="9.5703125" style="1" customWidth="1"/>
    <col min="4613" max="4613" width="10.7109375" style="1" customWidth="1"/>
    <col min="4614" max="4615" width="10.28515625" style="1" customWidth="1"/>
    <col min="4616" max="4616" width="3.5703125" style="1" customWidth="1"/>
    <col min="4617" max="4617" width="10.7109375" style="1" customWidth="1"/>
    <col min="4618" max="4618" width="10.85546875" style="1" customWidth="1"/>
    <col min="4619" max="4619" width="11.28515625" style="1" customWidth="1"/>
    <col min="4620" max="4621" width="11.5703125" style="1" customWidth="1"/>
    <col min="4622" max="4622" width="10.7109375" style="1" customWidth="1"/>
    <col min="4623" max="4623" width="10.5703125" style="1" customWidth="1"/>
    <col min="4624" max="4624" width="10.7109375" style="1" customWidth="1"/>
    <col min="4625" max="4625" width="16.140625" style="1" customWidth="1"/>
    <col min="4626" max="4864" width="9.140625" style="1"/>
    <col min="4865" max="4865" width="28.42578125" style="1" customWidth="1"/>
    <col min="4866" max="4866" width="10.5703125" style="1" customWidth="1"/>
    <col min="4867" max="4867" width="10.7109375" style="1" customWidth="1"/>
    <col min="4868" max="4868" width="9.5703125" style="1" customWidth="1"/>
    <col min="4869" max="4869" width="10.7109375" style="1" customWidth="1"/>
    <col min="4870" max="4871" width="10.28515625" style="1" customWidth="1"/>
    <col min="4872" max="4872" width="3.5703125" style="1" customWidth="1"/>
    <col min="4873" max="4873" width="10.7109375" style="1" customWidth="1"/>
    <col min="4874" max="4874" width="10.85546875" style="1" customWidth="1"/>
    <col min="4875" max="4875" width="11.28515625" style="1" customWidth="1"/>
    <col min="4876" max="4877" width="11.5703125" style="1" customWidth="1"/>
    <col min="4878" max="4878" width="10.7109375" style="1" customWidth="1"/>
    <col min="4879" max="4879" width="10.5703125" style="1" customWidth="1"/>
    <col min="4880" max="4880" width="10.7109375" style="1" customWidth="1"/>
    <col min="4881" max="4881" width="16.140625" style="1" customWidth="1"/>
    <col min="4882" max="5120" width="9.140625" style="1"/>
    <col min="5121" max="5121" width="28.42578125" style="1" customWidth="1"/>
    <col min="5122" max="5122" width="10.5703125" style="1" customWidth="1"/>
    <col min="5123" max="5123" width="10.7109375" style="1" customWidth="1"/>
    <col min="5124" max="5124" width="9.5703125" style="1" customWidth="1"/>
    <col min="5125" max="5125" width="10.7109375" style="1" customWidth="1"/>
    <col min="5126" max="5127" width="10.28515625" style="1" customWidth="1"/>
    <col min="5128" max="5128" width="3.5703125" style="1" customWidth="1"/>
    <col min="5129" max="5129" width="10.7109375" style="1" customWidth="1"/>
    <col min="5130" max="5130" width="10.85546875" style="1" customWidth="1"/>
    <col min="5131" max="5131" width="11.28515625" style="1" customWidth="1"/>
    <col min="5132" max="5133" width="11.5703125" style="1" customWidth="1"/>
    <col min="5134" max="5134" width="10.7109375" style="1" customWidth="1"/>
    <col min="5135" max="5135" width="10.5703125" style="1" customWidth="1"/>
    <col min="5136" max="5136" width="10.7109375" style="1" customWidth="1"/>
    <col min="5137" max="5137" width="16.140625" style="1" customWidth="1"/>
    <col min="5138" max="5376" width="9.140625" style="1"/>
    <col min="5377" max="5377" width="28.42578125" style="1" customWidth="1"/>
    <col min="5378" max="5378" width="10.5703125" style="1" customWidth="1"/>
    <col min="5379" max="5379" width="10.7109375" style="1" customWidth="1"/>
    <col min="5380" max="5380" width="9.5703125" style="1" customWidth="1"/>
    <col min="5381" max="5381" width="10.7109375" style="1" customWidth="1"/>
    <col min="5382" max="5383" width="10.28515625" style="1" customWidth="1"/>
    <col min="5384" max="5384" width="3.5703125" style="1" customWidth="1"/>
    <col min="5385" max="5385" width="10.7109375" style="1" customWidth="1"/>
    <col min="5386" max="5386" width="10.85546875" style="1" customWidth="1"/>
    <col min="5387" max="5387" width="11.28515625" style="1" customWidth="1"/>
    <col min="5388" max="5389" width="11.5703125" style="1" customWidth="1"/>
    <col min="5390" max="5390" width="10.7109375" style="1" customWidth="1"/>
    <col min="5391" max="5391" width="10.5703125" style="1" customWidth="1"/>
    <col min="5392" max="5392" width="10.7109375" style="1" customWidth="1"/>
    <col min="5393" max="5393" width="16.140625" style="1" customWidth="1"/>
    <col min="5394" max="5632" width="9.140625" style="1"/>
    <col min="5633" max="5633" width="28.42578125" style="1" customWidth="1"/>
    <col min="5634" max="5634" width="10.5703125" style="1" customWidth="1"/>
    <col min="5635" max="5635" width="10.7109375" style="1" customWidth="1"/>
    <col min="5636" max="5636" width="9.5703125" style="1" customWidth="1"/>
    <col min="5637" max="5637" width="10.7109375" style="1" customWidth="1"/>
    <col min="5638" max="5639" width="10.28515625" style="1" customWidth="1"/>
    <col min="5640" max="5640" width="3.5703125" style="1" customWidth="1"/>
    <col min="5641" max="5641" width="10.7109375" style="1" customWidth="1"/>
    <col min="5642" max="5642" width="10.85546875" style="1" customWidth="1"/>
    <col min="5643" max="5643" width="11.28515625" style="1" customWidth="1"/>
    <col min="5644" max="5645" width="11.5703125" style="1" customWidth="1"/>
    <col min="5646" max="5646" width="10.7109375" style="1" customWidth="1"/>
    <col min="5647" max="5647" width="10.5703125" style="1" customWidth="1"/>
    <col min="5648" max="5648" width="10.7109375" style="1" customWidth="1"/>
    <col min="5649" max="5649" width="16.140625" style="1" customWidth="1"/>
    <col min="5650" max="5888" width="9.140625" style="1"/>
    <col min="5889" max="5889" width="28.42578125" style="1" customWidth="1"/>
    <col min="5890" max="5890" width="10.5703125" style="1" customWidth="1"/>
    <col min="5891" max="5891" width="10.7109375" style="1" customWidth="1"/>
    <col min="5892" max="5892" width="9.5703125" style="1" customWidth="1"/>
    <col min="5893" max="5893" width="10.7109375" style="1" customWidth="1"/>
    <col min="5894" max="5895" width="10.28515625" style="1" customWidth="1"/>
    <col min="5896" max="5896" width="3.5703125" style="1" customWidth="1"/>
    <col min="5897" max="5897" width="10.7109375" style="1" customWidth="1"/>
    <col min="5898" max="5898" width="10.85546875" style="1" customWidth="1"/>
    <col min="5899" max="5899" width="11.28515625" style="1" customWidth="1"/>
    <col min="5900" max="5901" width="11.5703125" style="1" customWidth="1"/>
    <col min="5902" max="5902" width="10.7109375" style="1" customWidth="1"/>
    <col min="5903" max="5903" width="10.5703125" style="1" customWidth="1"/>
    <col min="5904" max="5904" width="10.7109375" style="1" customWidth="1"/>
    <col min="5905" max="5905" width="16.140625" style="1" customWidth="1"/>
    <col min="5906" max="6144" width="9.140625" style="1"/>
    <col min="6145" max="6145" width="28.42578125" style="1" customWidth="1"/>
    <col min="6146" max="6146" width="10.5703125" style="1" customWidth="1"/>
    <col min="6147" max="6147" width="10.7109375" style="1" customWidth="1"/>
    <col min="6148" max="6148" width="9.5703125" style="1" customWidth="1"/>
    <col min="6149" max="6149" width="10.7109375" style="1" customWidth="1"/>
    <col min="6150" max="6151" width="10.28515625" style="1" customWidth="1"/>
    <col min="6152" max="6152" width="3.5703125" style="1" customWidth="1"/>
    <col min="6153" max="6153" width="10.7109375" style="1" customWidth="1"/>
    <col min="6154" max="6154" width="10.85546875" style="1" customWidth="1"/>
    <col min="6155" max="6155" width="11.28515625" style="1" customWidth="1"/>
    <col min="6156" max="6157" width="11.5703125" style="1" customWidth="1"/>
    <col min="6158" max="6158" width="10.7109375" style="1" customWidth="1"/>
    <col min="6159" max="6159" width="10.5703125" style="1" customWidth="1"/>
    <col min="6160" max="6160" width="10.7109375" style="1" customWidth="1"/>
    <col min="6161" max="6161" width="16.140625" style="1" customWidth="1"/>
    <col min="6162" max="6400" width="9.140625" style="1"/>
    <col min="6401" max="6401" width="28.42578125" style="1" customWidth="1"/>
    <col min="6402" max="6402" width="10.5703125" style="1" customWidth="1"/>
    <col min="6403" max="6403" width="10.7109375" style="1" customWidth="1"/>
    <col min="6404" max="6404" width="9.5703125" style="1" customWidth="1"/>
    <col min="6405" max="6405" width="10.7109375" style="1" customWidth="1"/>
    <col min="6406" max="6407" width="10.28515625" style="1" customWidth="1"/>
    <col min="6408" max="6408" width="3.5703125" style="1" customWidth="1"/>
    <col min="6409" max="6409" width="10.7109375" style="1" customWidth="1"/>
    <col min="6410" max="6410" width="10.85546875" style="1" customWidth="1"/>
    <col min="6411" max="6411" width="11.28515625" style="1" customWidth="1"/>
    <col min="6412" max="6413" width="11.5703125" style="1" customWidth="1"/>
    <col min="6414" max="6414" width="10.7109375" style="1" customWidth="1"/>
    <col min="6415" max="6415" width="10.5703125" style="1" customWidth="1"/>
    <col min="6416" max="6416" width="10.7109375" style="1" customWidth="1"/>
    <col min="6417" max="6417" width="16.140625" style="1" customWidth="1"/>
    <col min="6418" max="6656" width="9.140625" style="1"/>
    <col min="6657" max="6657" width="28.42578125" style="1" customWidth="1"/>
    <col min="6658" max="6658" width="10.5703125" style="1" customWidth="1"/>
    <col min="6659" max="6659" width="10.7109375" style="1" customWidth="1"/>
    <col min="6660" max="6660" width="9.5703125" style="1" customWidth="1"/>
    <col min="6661" max="6661" width="10.7109375" style="1" customWidth="1"/>
    <col min="6662" max="6663" width="10.28515625" style="1" customWidth="1"/>
    <col min="6664" max="6664" width="3.5703125" style="1" customWidth="1"/>
    <col min="6665" max="6665" width="10.7109375" style="1" customWidth="1"/>
    <col min="6666" max="6666" width="10.85546875" style="1" customWidth="1"/>
    <col min="6667" max="6667" width="11.28515625" style="1" customWidth="1"/>
    <col min="6668" max="6669" width="11.5703125" style="1" customWidth="1"/>
    <col min="6670" max="6670" width="10.7109375" style="1" customWidth="1"/>
    <col min="6671" max="6671" width="10.5703125" style="1" customWidth="1"/>
    <col min="6672" max="6672" width="10.7109375" style="1" customWidth="1"/>
    <col min="6673" max="6673" width="16.140625" style="1" customWidth="1"/>
    <col min="6674" max="6912" width="9.140625" style="1"/>
    <col min="6913" max="6913" width="28.42578125" style="1" customWidth="1"/>
    <col min="6914" max="6914" width="10.5703125" style="1" customWidth="1"/>
    <col min="6915" max="6915" width="10.7109375" style="1" customWidth="1"/>
    <col min="6916" max="6916" width="9.5703125" style="1" customWidth="1"/>
    <col min="6917" max="6917" width="10.7109375" style="1" customWidth="1"/>
    <col min="6918" max="6919" width="10.28515625" style="1" customWidth="1"/>
    <col min="6920" max="6920" width="3.5703125" style="1" customWidth="1"/>
    <col min="6921" max="6921" width="10.7109375" style="1" customWidth="1"/>
    <col min="6922" max="6922" width="10.85546875" style="1" customWidth="1"/>
    <col min="6923" max="6923" width="11.28515625" style="1" customWidth="1"/>
    <col min="6924" max="6925" width="11.5703125" style="1" customWidth="1"/>
    <col min="6926" max="6926" width="10.7109375" style="1" customWidth="1"/>
    <col min="6927" max="6927" width="10.5703125" style="1" customWidth="1"/>
    <col min="6928" max="6928" width="10.7109375" style="1" customWidth="1"/>
    <col min="6929" max="6929" width="16.140625" style="1" customWidth="1"/>
    <col min="6930" max="7168" width="9.140625" style="1"/>
    <col min="7169" max="7169" width="28.42578125" style="1" customWidth="1"/>
    <col min="7170" max="7170" width="10.5703125" style="1" customWidth="1"/>
    <col min="7171" max="7171" width="10.7109375" style="1" customWidth="1"/>
    <col min="7172" max="7172" width="9.5703125" style="1" customWidth="1"/>
    <col min="7173" max="7173" width="10.7109375" style="1" customWidth="1"/>
    <col min="7174" max="7175" width="10.28515625" style="1" customWidth="1"/>
    <col min="7176" max="7176" width="3.5703125" style="1" customWidth="1"/>
    <col min="7177" max="7177" width="10.7109375" style="1" customWidth="1"/>
    <col min="7178" max="7178" width="10.85546875" style="1" customWidth="1"/>
    <col min="7179" max="7179" width="11.28515625" style="1" customWidth="1"/>
    <col min="7180" max="7181" width="11.5703125" style="1" customWidth="1"/>
    <col min="7182" max="7182" width="10.7109375" style="1" customWidth="1"/>
    <col min="7183" max="7183" width="10.5703125" style="1" customWidth="1"/>
    <col min="7184" max="7184" width="10.7109375" style="1" customWidth="1"/>
    <col min="7185" max="7185" width="16.140625" style="1" customWidth="1"/>
    <col min="7186" max="7424" width="9.140625" style="1"/>
    <col min="7425" max="7425" width="28.42578125" style="1" customWidth="1"/>
    <col min="7426" max="7426" width="10.5703125" style="1" customWidth="1"/>
    <col min="7427" max="7427" width="10.7109375" style="1" customWidth="1"/>
    <col min="7428" max="7428" width="9.5703125" style="1" customWidth="1"/>
    <col min="7429" max="7429" width="10.7109375" style="1" customWidth="1"/>
    <col min="7430" max="7431" width="10.28515625" style="1" customWidth="1"/>
    <col min="7432" max="7432" width="3.5703125" style="1" customWidth="1"/>
    <col min="7433" max="7433" width="10.7109375" style="1" customWidth="1"/>
    <col min="7434" max="7434" width="10.85546875" style="1" customWidth="1"/>
    <col min="7435" max="7435" width="11.28515625" style="1" customWidth="1"/>
    <col min="7436" max="7437" width="11.5703125" style="1" customWidth="1"/>
    <col min="7438" max="7438" width="10.7109375" style="1" customWidth="1"/>
    <col min="7439" max="7439" width="10.5703125" style="1" customWidth="1"/>
    <col min="7440" max="7440" width="10.7109375" style="1" customWidth="1"/>
    <col min="7441" max="7441" width="16.140625" style="1" customWidth="1"/>
    <col min="7442" max="7680" width="9.140625" style="1"/>
    <col min="7681" max="7681" width="28.42578125" style="1" customWidth="1"/>
    <col min="7682" max="7682" width="10.5703125" style="1" customWidth="1"/>
    <col min="7683" max="7683" width="10.7109375" style="1" customWidth="1"/>
    <col min="7684" max="7684" width="9.5703125" style="1" customWidth="1"/>
    <col min="7685" max="7685" width="10.7109375" style="1" customWidth="1"/>
    <col min="7686" max="7687" width="10.28515625" style="1" customWidth="1"/>
    <col min="7688" max="7688" width="3.5703125" style="1" customWidth="1"/>
    <col min="7689" max="7689" width="10.7109375" style="1" customWidth="1"/>
    <col min="7690" max="7690" width="10.85546875" style="1" customWidth="1"/>
    <col min="7691" max="7691" width="11.28515625" style="1" customWidth="1"/>
    <col min="7692" max="7693" width="11.5703125" style="1" customWidth="1"/>
    <col min="7694" max="7694" width="10.7109375" style="1" customWidth="1"/>
    <col min="7695" max="7695" width="10.5703125" style="1" customWidth="1"/>
    <col min="7696" max="7696" width="10.7109375" style="1" customWidth="1"/>
    <col min="7697" max="7697" width="16.140625" style="1" customWidth="1"/>
    <col min="7698" max="7936" width="9.140625" style="1"/>
    <col min="7937" max="7937" width="28.42578125" style="1" customWidth="1"/>
    <col min="7938" max="7938" width="10.5703125" style="1" customWidth="1"/>
    <col min="7939" max="7939" width="10.7109375" style="1" customWidth="1"/>
    <col min="7940" max="7940" width="9.5703125" style="1" customWidth="1"/>
    <col min="7941" max="7941" width="10.7109375" style="1" customWidth="1"/>
    <col min="7942" max="7943" width="10.28515625" style="1" customWidth="1"/>
    <col min="7944" max="7944" width="3.5703125" style="1" customWidth="1"/>
    <col min="7945" max="7945" width="10.7109375" style="1" customWidth="1"/>
    <col min="7946" max="7946" width="10.85546875" style="1" customWidth="1"/>
    <col min="7947" max="7947" width="11.28515625" style="1" customWidth="1"/>
    <col min="7948" max="7949" width="11.5703125" style="1" customWidth="1"/>
    <col min="7950" max="7950" width="10.7109375" style="1" customWidth="1"/>
    <col min="7951" max="7951" width="10.5703125" style="1" customWidth="1"/>
    <col min="7952" max="7952" width="10.7109375" style="1" customWidth="1"/>
    <col min="7953" max="7953" width="16.140625" style="1" customWidth="1"/>
    <col min="7954" max="8192" width="9.140625" style="1"/>
    <col min="8193" max="8193" width="28.42578125" style="1" customWidth="1"/>
    <col min="8194" max="8194" width="10.5703125" style="1" customWidth="1"/>
    <col min="8195" max="8195" width="10.7109375" style="1" customWidth="1"/>
    <col min="8196" max="8196" width="9.5703125" style="1" customWidth="1"/>
    <col min="8197" max="8197" width="10.7109375" style="1" customWidth="1"/>
    <col min="8198" max="8199" width="10.28515625" style="1" customWidth="1"/>
    <col min="8200" max="8200" width="3.5703125" style="1" customWidth="1"/>
    <col min="8201" max="8201" width="10.7109375" style="1" customWidth="1"/>
    <col min="8202" max="8202" width="10.85546875" style="1" customWidth="1"/>
    <col min="8203" max="8203" width="11.28515625" style="1" customWidth="1"/>
    <col min="8204" max="8205" width="11.5703125" style="1" customWidth="1"/>
    <col min="8206" max="8206" width="10.7109375" style="1" customWidth="1"/>
    <col min="8207" max="8207" width="10.5703125" style="1" customWidth="1"/>
    <col min="8208" max="8208" width="10.7109375" style="1" customWidth="1"/>
    <col min="8209" max="8209" width="16.140625" style="1" customWidth="1"/>
    <col min="8210" max="8448" width="9.140625" style="1"/>
    <col min="8449" max="8449" width="28.42578125" style="1" customWidth="1"/>
    <col min="8450" max="8450" width="10.5703125" style="1" customWidth="1"/>
    <col min="8451" max="8451" width="10.7109375" style="1" customWidth="1"/>
    <col min="8452" max="8452" width="9.5703125" style="1" customWidth="1"/>
    <col min="8453" max="8453" width="10.7109375" style="1" customWidth="1"/>
    <col min="8454" max="8455" width="10.28515625" style="1" customWidth="1"/>
    <col min="8456" max="8456" width="3.5703125" style="1" customWidth="1"/>
    <col min="8457" max="8457" width="10.7109375" style="1" customWidth="1"/>
    <col min="8458" max="8458" width="10.85546875" style="1" customWidth="1"/>
    <col min="8459" max="8459" width="11.28515625" style="1" customWidth="1"/>
    <col min="8460" max="8461" width="11.5703125" style="1" customWidth="1"/>
    <col min="8462" max="8462" width="10.7109375" style="1" customWidth="1"/>
    <col min="8463" max="8463" width="10.5703125" style="1" customWidth="1"/>
    <col min="8464" max="8464" width="10.7109375" style="1" customWidth="1"/>
    <col min="8465" max="8465" width="16.140625" style="1" customWidth="1"/>
    <col min="8466" max="8704" width="9.140625" style="1"/>
    <col min="8705" max="8705" width="28.42578125" style="1" customWidth="1"/>
    <col min="8706" max="8706" width="10.5703125" style="1" customWidth="1"/>
    <col min="8707" max="8707" width="10.7109375" style="1" customWidth="1"/>
    <col min="8708" max="8708" width="9.5703125" style="1" customWidth="1"/>
    <col min="8709" max="8709" width="10.7109375" style="1" customWidth="1"/>
    <col min="8710" max="8711" width="10.28515625" style="1" customWidth="1"/>
    <col min="8712" max="8712" width="3.5703125" style="1" customWidth="1"/>
    <col min="8713" max="8713" width="10.7109375" style="1" customWidth="1"/>
    <col min="8714" max="8714" width="10.85546875" style="1" customWidth="1"/>
    <col min="8715" max="8715" width="11.28515625" style="1" customWidth="1"/>
    <col min="8716" max="8717" width="11.5703125" style="1" customWidth="1"/>
    <col min="8718" max="8718" width="10.7109375" style="1" customWidth="1"/>
    <col min="8719" max="8719" width="10.5703125" style="1" customWidth="1"/>
    <col min="8720" max="8720" width="10.7109375" style="1" customWidth="1"/>
    <col min="8721" max="8721" width="16.140625" style="1" customWidth="1"/>
    <col min="8722" max="8960" width="9.140625" style="1"/>
    <col min="8961" max="8961" width="28.42578125" style="1" customWidth="1"/>
    <col min="8962" max="8962" width="10.5703125" style="1" customWidth="1"/>
    <col min="8963" max="8963" width="10.7109375" style="1" customWidth="1"/>
    <col min="8964" max="8964" width="9.5703125" style="1" customWidth="1"/>
    <col min="8965" max="8965" width="10.7109375" style="1" customWidth="1"/>
    <col min="8966" max="8967" width="10.28515625" style="1" customWidth="1"/>
    <col min="8968" max="8968" width="3.5703125" style="1" customWidth="1"/>
    <col min="8969" max="8969" width="10.7109375" style="1" customWidth="1"/>
    <col min="8970" max="8970" width="10.85546875" style="1" customWidth="1"/>
    <col min="8971" max="8971" width="11.28515625" style="1" customWidth="1"/>
    <col min="8972" max="8973" width="11.5703125" style="1" customWidth="1"/>
    <col min="8974" max="8974" width="10.7109375" style="1" customWidth="1"/>
    <col min="8975" max="8975" width="10.5703125" style="1" customWidth="1"/>
    <col min="8976" max="8976" width="10.7109375" style="1" customWidth="1"/>
    <col min="8977" max="8977" width="16.140625" style="1" customWidth="1"/>
    <col min="8978" max="9216" width="9.140625" style="1"/>
    <col min="9217" max="9217" width="28.42578125" style="1" customWidth="1"/>
    <col min="9218" max="9218" width="10.5703125" style="1" customWidth="1"/>
    <col min="9219" max="9219" width="10.7109375" style="1" customWidth="1"/>
    <col min="9220" max="9220" width="9.5703125" style="1" customWidth="1"/>
    <col min="9221" max="9221" width="10.7109375" style="1" customWidth="1"/>
    <col min="9222" max="9223" width="10.28515625" style="1" customWidth="1"/>
    <col min="9224" max="9224" width="3.5703125" style="1" customWidth="1"/>
    <col min="9225" max="9225" width="10.7109375" style="1" customWidth="1"/>
    <col min="9226" max="9226" width="10.85546875" style="1" customWidth="1"/>
    <col min="9227" max="9227" width="11.28515625" style="1" customWidth="1"/>
    <col min="9228" max="9229" width="11.5703125" style="1" customWidth="1"/>
    <col min="9230" max="9230" width="10.7109375" style="1" customWidth="1"/>
    <col min="9231" max="9231" width="10.5703125" style="1" customWidth="1"/>
    <col min="9232" max="9232" width="10.7109375" style="1" customWidth="1"/>
    <col min="9233" max="9233" width="16.140625" style="1" customWidth="1"/>
    <col min="9234" max="9472" width="9.140625" style="1"/>
    <col min="9473" max="9473" width="28.42578125" style="1" customWidth="1"/>
    <col min="9474" max="9474" width="10.5703125" style="1" customWidth="1"/>
    <col min="9475" max="9475" width="10.7109375" style="1" customWidth="1"/>
    <col min="9476" max="9476" width="9.5703125" style="1" customWidth="1"/>
    <col min="9477" max="9477" width="10.7109375" style="1" customWidth="1"/>
    <col min="9478" max="9479" width="10.28515625" style="1" customWidth="1"/>
    <col min="9480" max="9480" width="3.5703125" style="1" customWidth="1"/>
    <col min="9481" max="9481" width="10.7109375" style="1" customWidth="1"/>
    <col min="9482" max="9482" width="10.85546875" style="1" customWidth="1"/>
    <col min="9483" max="9483" width="11.28515625" style="1" customWidth="1"/>
    <col min="9484" max="9485" width="11.5703125" style="1" customWidth="1"/>
    <col min="9486" max="9486" width="10.7109375" style="1" customWidth="1"/>
    <col min="9487" max="9487" width="10.5703125" style="1" customWidth="1"/>
    <col min="9488" max="9488" width="10.7109375" style="1" customWidth="1"/>
    <col min="9489" max="9489" width="16.140625" style="1" customWidth="1"/>
    <col min="9490" max="9728" width="9.140625" style="1"/>
    <col min="9729" max="9729" width="28.42578125" style="1" customWidth="1"/>
    <col min="9730" max="9730" width="10.5703125" style="1" customWidth="1"/>
    <col min="9731" max="9731" width="10.7109375" style="1" customWidth="1"/>
    <col min="9732" max="9732" width="9.5703125" style="1" customWidth="1"/>
    <col min="9733" max="9733" width="10.7109375" style="1" customWidth="1"/>
    <col min="9734" max="9735" width="10.28515625" style="1" customWidth="1"/>
    <col min="9736" max="9736" width="3.5703125" style="1" customWidth="1"/>
    <col min="9737" max="9737" width="10.7109375" style="1" customWidth="1"/>
    <col min="9738" max="9738" width="10.85546875" style="1" customWidth="1"/>
    <col min="9739" max="9739" width="11.28515625" style="1" customWidth="1"/>
    <col min="9740" max="9741" width="11.5703125" style="1" customWidth="1"/>
    <col min="9742" max="9742" width="10.7109375" style="1" customWidth="1"/>
    <col min="9743" max="9743" width="10.5703125" style="1" customWidth="1"/>
    <col min="9744" max="9744" width="10.7109375" style="1" customWidth="1"/>
    <col min="9745" max="9745" width="16.140625" style="1" customWidth="1"/>
    <col min="9746" max="9984" width="9.140625" style="1"/>
    <col min="9985" max="9985" width="28.42578125" style="1" customWidth="1"/>
    <col min="9986" max="9986" width="10.5703125" style="1" customWidth="1"/>
    <col min="9987" max="9987" width="10.7109375" style="1" customWidth="1"/>
    <col min="9988" max="9988" width="9.5703125" style="1" customWidth="1"/>
    <col min="9989" max="9989" width="10.7109375" style="1" customWidth="1"/>
    <col min="9990" max="9991" width="10.28515625" style="1" customWidth="1"/>
    <col min="9992" max="9992" width="3.5703125" style="1" customWidth="1"/>
    <col min="9993" max="9993" width="10.7109375" style="1" customWidth="1"/>
    <col min="9994" max="9994" width="10.85546875" style="1" customWidth="1"/>
    <col min="9995" max="9995" width="11.28515625" style="1" customWidth="1"/>
    <col min="9996" max="9997" width="11.5703125" style="1" customWidth="1"/>
    <col min="9998" max="9998" width="10.7109375" style="1" customWidth="1"/>
    <col min="9999" max="9999" width="10.5703125" style="1" customWidth="1"/>
    <col min="10000" max="10000" width="10.7109375" style="1" customWidth="1"/>
    <col min="10001" max="10001" width="16.140625" style="1" customWidth="1"/>
    <col min="10002" max="10240" width="9.140625" style="1"/>
    <col min="10241" max="10241" width="28.42578125" style="1" customWidth="1"/>
    <col min="10242" max="10242" width="10.5703125" style="1" customWidth="1"/>
    <col min="10243" max="10243" width="10.7109375" style="1" customWidth="1"/>
    <col min="10244" max="10244" width="9.5703125" style="1" customWidth="1"/>
    <col min="10245" max="10245" width="10.7109375" style="1" customWidth="1"/>
    <col min="10246" max="10247" width="10.28515625" style="1" customWidth="1"/>
    <col min="10248" max="10248" width="3.5703125" style="1" customWidth="1"/>
    <col min="10249" max="10249" width="10.7109375" style="1" customWidth="1"/>
    <col min="10250" max="10250" width="10.85546875" style="1" customWidth="1"/>
    <col min="10251" max="10251" width="11.28515625" style="1" customWidth="1"/>
    <col min="10252" max="10253" width="11.5703125" style="1" customWidth="1"/>
    <col min="10254" max="10254" width="10.7109375" style="1" customWidth="1"/>
    <col min="10255" max="10255" width="10.5703125" style="1" customWidth="1"/>
    <col min="10256" max="10256" width="10.7109375" style="1" customWidth="1"/>
    <col min="10257" max="10257" width="16.140625" style="1" customWidth="1"/>
    <col min="10258" max="10496" width="9.140625" style="1"/>
    <col min="10497" max="10497" width="28.42578125" style="1" customWidth="1"/>
    <col min="10498" max="10498" width="10.5703125" style="1" customWidth="1"/>
    <col min="10499" max="10499" width="10.7109375" style="1" customWidth="1"/>
    <col min="10500" max="10500" width="9.5703125" style="1" customWidth="1"/>
    <col min="10501" max="10501" width="10.7109375" style="1" customWidth="1"/>
    <col min="10502" max="10503" width="10.28515625" style="1" customWidth="1"/>
    <col min="10504" max="10504" width="3.5703125" style="1" customWidth="1"/>
    <col min="10505" max="10505" width="10.7109375" style="1" customWidth="1"/>
    <col min="10506" max="10506" width="10.85546875" style="1" customWidth="1"/>
    <col min="10507" max="10507" width="11.28515625" style="1" customWidth="1"/>
    <col min="10508" max="10509" width="11.5703125" style="1" customWidth="1"/>
    <col min="10510" max="10510" width="10.7109375" style="1" customWidth="1"/>
    <col min="10511" max="10511" width="10.5703125" style="1" customWidth="1"/>
    <col min="10512" max="10512" width="10.7109375" style="1" customWidth="1"/>
    <col min="10513" max="10513" width="16.140625" style="1" customWidth="1"/>
    <col min="10514" max="10752" width="9.140625" style="1"/>
    <col min="10753" max="10753" width="28.42578125" style="1" customWidth="1"/>
    <col min="10754" max="10754" width="10.5703125" style="1" customWidth="1"/>
    <col min="10755" max="10755" width="10.7109375" style="1" customWidth="1"/>
    <col min="10756" max="10756" width="9.5703125" style="1" customWidth="1"/>
    <col min="10757" max="10757" width="10.7109375" style="1" customWidth="1"/>
    <col min="10758" max="10759" width="10.28515625" style="1" customWidth="1"/>
    <col min="10760" max="10760" width="3.5703125" style="1" customWidth="1"/>
    <col min="10761" max="10761" width="10.7109375" style="1" customWidth="1"/>
    <col min="10762" max="10762" width="10.85546875" style="1" customWidth="1"/>
    <col min="10763" max="10763" width="11.28515625" style="1" customWidth="1"/>
    <col min="10764" max="10765" width="11.5703125" style="1" customWidth="1"/>
    <col min="10766" max="10766" width="10.7109375" style="1" customWidth="1"/>
    <col min="10767" max="10767" width="10.5703125" style="1" customWidth="1"/>
    <col min="10768" max="10768" width="10.7109375" style="1" customWidth="1"/>
    <col min="10769" max="10769" width="16.140625" style="1" customWidth="1"/>
    <col min="10770" max="11008" width="9.140625" style="1"/>
    <col min="11009" max="11009" width="28.42578125" style="1" customWidth="1"/>
    <col min="11010" max="11010" width="10.5703125" style="1" customWidth="1"/>
    <col min="11011" max="11011" width="10.7109375" style="1" customWidth="1"/>
    <col min="11012" max="11012" width="9.5703125" style="1" customWidth="1"/>
    <col min="11013" max="11013" width="10.7109375" style="1" customWidth="1"/>
    <col min="11014" max="11015" width="10.28515625" style="1" customWidth="1"/>
    <col min="11016" max="11016" width="3.5703125" style="1" customWidth="1"/>
    <col min="11017" max="11017" width="10.7109375" style="1" customWidth="1"/>
    <col min="11018" max="11018" width="10.85546875" style="1" customWidth="1"/>
    <col min="11019" max="11019" width="11.28515625" style="1" customWidth="1"/>
    <col min="11020" max="11021" width="11.5703125" style="1" customWidth="1"/>
    <col min="11022" max="11022" width="10.7109375" style="1" customWidth="1"/>
    <col min="11023" max="11023" width="10.5703125" style="1" customWidth="1"/>
    <col min="11024" max="11024" width="10.7109375" style="1" customWidth="1"/>
    <col min="11025" max="11025" width="16.140625" style="1" customWidth="1"/>
    <col min="11026" max="11264" width="9.140625" style="1"/>
    <col min="11265" max="11265" width="28.42578125" style="1" customWidth="1"/>
    <col min="11266" max="11266" width="10.5703125" style="1" customWidth="1"/>
    <col min="11267" max="11267" width="10.7109375" style="1" customWidth="1"/>
    <col min="11268" max="11268" width="9.5703125" style="1" customWidth="1"/>
    <col min="11269" max="11269" width="10.7109375" style="1" customWidth="1"/>
    <col min="11270" max="11271" width="10.28515625" style="1" customWidth="1"/>
    <col min="11272" max="11272" width="3.5703125" style="1" customWidth="1"/>
    <col min="11273" max="11273" width="10.7109375" style="1" customWidth="1"/>
    <col min="11274" max="11274" width="10.85546875" style="1" customWidth="1"/>
    <col min="11275" max="11275" width="11.28515625" style="1" customWidth="1"/>
    <col min="11276" max="11277" width="11.5703125" style="1" customWidth="1"/>
    <col min="11278" max="11278" width="10.7109375" style="1" customWidth="1"/>
    <col min="11279" max="11279" width="10.5703125" style="1" customWidth="1"/>
    <col min="11280" max="11280" width="10.7109375" style="1" customWidth="1"/>
    <col min="11281" max="11281" width="16.140625" style="1" customWidth="1"/>
    <col min="11282" max="11520" width="9.140625" style="1"/>
    <col min="11521" max="11521" width="28.42578125" style="1" customWidth="1"/>
    <col min="11522" max="11522" width="10.5703125" style="1" customWidth="1"/>
    <col min="11523" max="11523" width="10.7109375" style="1" customWidth="1"/>
    <col min="11524" max="11524" width="9.5703125" style="1" customWidth="1"/>
    <col min="11525" max="11525" width="10.7109375" style="1" customWidth="1"/>
    <col min="11526" max="11527" width="10.28515625" style="1" customWidth="1"/>
    <col min="11528" max="11528" width="3.5703125" style="1" customWidth="1"/>
    <col min="11529" max="11529" width="10.7109375" style="1" customWidth="1"/>
    <col min="11530" max="11530" width="10.85546875" style="1" customWidth="1"/>
    <col min="11531" max="11531" width="11.28515625" style="1" customWidth="1"/>
    <col min="11532" max="11533" width="11.5703125" style="1" customWidth="1"/>
    <col min="11534" max="11534" width="10.7109375" style="1" customWidth="1"/>
    <col min="11535" max="11535" width="10.5703125" style="1" customWidth="1"/>
    <col min="11536" max="11536" width="10.7109375" style="1" customWidth="1"/>
    <col min="11537" max="11537" width="16.140625" style="1" customWidth="1"/>
    <col min="11538" max="11776" width="9.140625" style="1"/>
    <col min="11777" max="11777" width="28.42578125" style="1" customWidth="1"/>
    <col min="11778" max="11778" width="10.5703125" style="1" customWidth="1"/>
    <col min="11779" max="11779" width="10.7109375" style="1" customWidth="1"/>
    <col min="11780" max="11780" width="9.5703125" style="1" customWidth="1"/>
    <col min="11781" max="11781" width="10.7109375" style="1" customWidth="1"/>
    <col min="11782" max="11783" width="10.28515625" style="1" customWidth="1"/>
    <col min="11784" max="11784" width="3.5703125" style="1" customWidth="1"/>
    <col min="11785" max="11785" width="10.7109375" style="1" customWidth="1"/>
    <col min="11786" max="11786" width="10.85546875" style="1" customWidth="1"/>
    <col min="11787" max="11787" width="11.28515625" style="1" customWidth="1"/>
    <col min="11788" max="11789" width="11.5703125" style="1" customWidth="1"/>
    <col min="11790" max="11790" width="10.7109375" style="1" customWidth="1"/>
    <col min="11791" max="11791" width="10.5703125" style="1" customWidth="1"/>
    <col min="11792" max="11792" width="10.7109375" style="1" customWidth="1"/>
    <col min="11793" max="11793" width="16.140625" style="1" customWidth="1"/>
    <col min="11794" max="12032" width="9.140625" style="1"/>
    <col min="12033" max="12033" width="28.42578125" style="1" customWidth="1"/>
    <col min="12034" max="12034" width="10.5703125" style="1" customWidth="1"/>
    <col min="12035" max="12035" width="10.7109375" style="1" customWidth="1"/>
    <col min="12036" max="12036" width="9.5703125" style="1" customWidth="1"/>
    <col min="12037" max="12037" width="10.7109375" style="1" customWidth="1"/>
    <col min="12038" max="12039" width="10.28515625" style="1" customWidth="1"/>
    <col min="12040" max="12040" width="3.5703125" style="1" customWidth="1"/>
    <col min="12041" max="12041" width="10.7109375" style="1" customWidth="1"/>
    <col min="12042" max="12042" width="10.85546875" style="1" customWidth="1"/>
    <col min="12043" max="12043" width="11.28515625" style="1" customWidth="1"/>
    <col min="12044" max="12045" width="11.5703125" style="1" customWidth="1"/>
    <col min="12046" max="12046" width="10.7109375" style="1" customWidth="1"/>
    <col min="12047" max="12047" width="10.5703125" style="1" customWidth="1"/>
    <col min="12048" max="12048" width="10.7109375" style="1" customWidth="1"/>
    <col min="12049" max="12049" width="16.140625" style="1" customWidth="1"/>
    <col min="12050" max="12288" width="9.140625" style="1"/>
    <col min="12289" max="12289" width="28.42578125" style="1" customWidth="1"/>
    <col min="12290" max="12290" width="10.5703125" style="1" customWidth="1"/>
    <col min="12291" max="12291" width="10.7109375" style="1" customWidth="1"/>
    <col min="12292" max="12292" width="9.5703125" style="1" customWidth="1"/>
    <col min="12293" max="12293" width="10.7109375" style="1" customWidth="1"/>
    <col min="12294" max="12295" width="10.28515625" style="1" customWidth="1"/>
    <col min="12296" max="12296" width="3.5703125" style="1" customWidth="1"/>
    <col min="12297" max="12297" width="10.7109375" style="1" customWidth="1"/>
    <col min="12298" max="12298" width="10.85546875" style="1" customWidth="1"/>
    <col min="12299" max="12299" width="11.28515625" style="1" customWidth="1"/>
    <col min="12300" max="12301" width="11.5703125" style="1" customWidth="1"/>
    <col min="12302" max="12302" width="10.7109375" style="1" customWidth="1"/>
    <col min="12303" max="12303" width="10.5703125" style="1" customWidth="1"/>
    <col min="12304" max="12304" width="10.7109375" style="1" customWidth="1"/>
    <col min="12305" max="12305" width="16.140625" style="1" customWidth="1"/>
    <col min="12306" max="12544" width="9.140625" style="1"/>
    <col min="12545" max="12545" width="28.42578125" style="1" customWidth="1"/>
    <col min="12546" max="12546" width="10.5703125" style="1" customWidth="1"/>
    <col min="12547" max="12547" width="10.7109375" style="1" customWidth="1"/>
    <col min="12548" max="12548" width="9.5703125" style="1" customWidth="1"/>
    <col min="12549" max="12549" width="10.7109375" style="1" customWidth="1"/>
    <col min="12550" max="12551" width="10.28515625" style="1" customWidth="1"/>
    <col min="12552" max="12552" width="3.5703125" style="1" customWidth="1"/>
    <col min="12553" max="12553" width="10.7109375" style="1" customWidth="1"/>
    <col min="12554" max="12554" width="10.85546875" style="1" customWidth="1"/>
    <col min="12555" max="12555" width="11.28515625" style="1" customWidth="1"/>
    <col min="12556" max="12557" width="11.5703125" style="1" customWidth="1"/>
    <col min="12558" max="12558" width="10.7109375" style="1" customWidth="1"/>
    <col min="12559" max="12559" width="10.5703125" style="1" customWidth="1"/>
    <col min="12560" max="12560" width="10.7109375" style="1" customWidth="1"/>
    <col min="12561" max="12561" width="16.140625" style="1" customWidth="1"/>
    <col min="12562" max="12800" width="9.140625" style="1"/>
    <col min="12801" max="12801" width="28.42578125" style="1" customWidth="1"/>
    <col min="12802" max="12802" width="10.5703125" style="1" customWidth="1"/>
    <col min="12803" max="12803" width="10.7109375" style="1" customWidth="1"/>
    <col min="12804" max="12804" width="9.5703125" style="1" customWidth="1"/>
    <col min="12805" max="12805" width="10.7109375" style="1" customWidth="1"/>
    <col min="12806" max="12807" width="10.28515625" style="1" customWidth="1"/>
    <col min="12808" max="12808" width="3.5703125" style="1" customWidth="1"/>
    <col min="12809" max="12809" width="10.7109375" style="1" customWidth="1"/>
    <col min="12810" max="12810" width="10.85546875" style="1" customWidth="1"/>
    <col min="12811" max="12811" width="11.28515625" style="1" customWidth="1"/>
    <col min="12812" max="12813" width="11.5703125" style="1" customWidth="1"/>
    <col min="12814" max="12814" width="10.7109375" style="1" customWidth="1"/>
    <col min="12815" max="12815" width="10.5703125" style="1" customWidth="1"/>
    <col min="12816" max="12816" width="10.7109375" style="1" customWidth="1"/>
    <col min="12817" max="12817" width="16.140625" style="1" customWidth="1"/>
    <col min="12818" max="13056" width="9.140625" style="1"/>
    <col min="13057" max="13057" width="28.42578125" style="1" customWidth="1"/>
    <col min="13058" max="13058" width="10.5703125" style="1" customWidth="1"/>
    <col min="13059" max="13059" width="10.7109375" style="1" customWidth="1"/>
    <col min="13060" max="13060" width="9.5703125" style="1" customWidth="1"/>
    <col min="13061" max="13061" width="10.7109375" style="1" customWidth="1"/>
    <col min="13062" max="13063" width="10.28515625" style="1" customWidth="1"/>
    <col min="13064" max="13064" width="3.5703125" style="1" customWidth="1"/>
    <col min="13065" max="13065" width="10.7109375" style="1" customWidth="1"/>
    <col min="13066" max="13066" width="10.85546875" style="1" customWidth="1"/>
    <col min="13067" max="13067" width="11.28515625" style="1" customWidth="1"/>
    <col min="13068" max="13069" width="11.5703125" style="1" customWidth="1"/>
    <col min="13070" max="13070" width="10.7109375" style="1" customWidth="1"/>
    <col min="13071" max="13071" width="10.5703125" style="1" customWidth="1"/>
    <col min="13072" max="13072" width="10.7109375" style="1" customWidth="1"/>
    <col min="13073" max="13073" width="16.140625" style="1" customWidth="1"/>
    <col min="13074" max="13312" width="9.140625" style="1"/>
    <col min="13313" max="13313" width="28.42578125" style="1" customWidth="1"/>
    <col min="13314" max="13314" width="10.5703125" style="1" customWidth="1"/>
    <col min="13315" max="13315" width="10.7109375" style="1" customWidth="1"/>
    <col min="13316" max="13316" width="9.5703125" style="1" customWidth="1"/>
    <col min="13317" max="13317" width="10.7109375" style="1" customWidth="1"/>
    <col min="13318" max="13319" width="10.28515625" style="1" customWidth="1"/>
    <col min="13320" max="13320" width="3.5703125" style="1" customWidth="1"/>
    <col min="13321" max="13321" width="10.7109375" style="1" customWidth="1"/>
    <col min="13322" max="13322" width="10.85546875" style="1" customWidth="1"/>
    <col min="13323" max="13323" width="11.28515625" style="1" customWidth="1"/>
    <col min="13324" max="13325" width="11.5703125" style="1" customWidth="1"/>
    <col min="13326" max="13326" width="10.7109375" style="1" customWidth="1"/>
    <col min="13327" max="13327" width="10.5703125" style="1" customWidth="1"/>
    <col min="13328" max="13328" width="10.7109375" style="1" customWidth="1"/>
    <col min="13329" max="13329" width="16.140625" style="1" customWidth="1"/>
    <col min="13330" max="13568" width="9.140625" style="1"/>
    <col min="13569" max="13569" width="28.42578125" style="1" customWidth="1"/>
    <col min="13570" max="13570" width="10.5703125" style="1" customWidth="1"/>
    <col min="13571" max="13571" width="10.7109375" style="1" customWidth="1"/>
    <col min="13572" max="13572" width="9.5703125" style="1" customWidth="1"/>
    <col min="13573" max="13573" width="10.7109375" style="1" customWidth="1"/>
    <col min="13574" max="13575" width="10.28515625" style="1" customWidth="1"/>
    <col min="13576" max="13576" width="3.5703125" style="1" customWidth="1"/>
    <col min="13577" max="13577" width="10.7109375" style="1" customWidth="1"/>
    <col min="13578" max="13578" width="10.85546875" style="1" customWidth="1"/>
    <col min="13579" max="13579" width="11.28515625" style="1" customWidth="1"/>
    <col min="13580" max="13581" width="11.5703125" style="1" customWidth="1"/>
    <col min="13582" max="13582" width="10.7109375" style="1" customWidth="1"/>
    <col min="13583" max="13583" width="10.5703125" style="1" customWidth="1"/>
    <col min="13584" max="13584" width="10.7109375" style="1" customWidth="1"/>
    <col min="13585" max="13585" width="16.140625" style="1" customWidth="1"/>
    <col min="13586" max="13824" width="9.140625" style="1"/>
    <col min="13825" max="13825" width="28.42578125" style="1" customWidth="1"/>
    <col min="13826" max="13826" width="10.5703125" style="1" customWidth="1"/>
    <col min="13827" max="13827" width="10.7109375" style="1" customWidth="1"/>
    <col min="13828" max="13828" width="9.5703125" style="1" customWidth="1"/>
    <col min="13829" max="13829" width="10.7109375" style="1" customWidth="1"/>
    <col min="13830" max="13831" width="10.28515625" style="1" customWidth="1"/>
    <col min="13832" max="13832" width="3.5703125" style="1" customWidth="1"/>
    <col min="13833" max="13833" width="10.7109375" style="1" customWidth="1"/>
    <col min="13834" max="13834" width="10.85546875" style="1" customWidth="1"/>
    <col min="13835" max="13835" width="11.28515625" style="1" customWidth="1"/>
    <col min="13836" max="13837" width="11.5703125" style="1" customWidth="1"/>
    <col min="13838" max="13838" width="10.7109375" style="1" customWidth="1"/>
    <col min="13839" max="13839" width="10.5703125" style="1" customWidth="1"/>
    <col min="13840" max="13840" width="10.7109375" style="1" customWidth="1"/>
    <col min="13841" max="13841" width="16.140625" style="1" customWidth="1"/>
    <col min="13842" max="14080" width="9.140625" style="1"/>
    <col min="14081" max="14081" width="28.42578125" style="1" customWidth="1"/>
    <col min="14082" max="14082" width="10.5703125" style="1" customWidth="1"/>
    <col min="14083" max="14083" width="10.7109375" style="1" customWidth="1"/>
    <col min="14084" max="14084" width="9.5703125" style="1" customWidth="1"/>
    <col min="14085" max="14085" width="10.7109375" style="1" customWidth="1"/>
    <col min="14086" max="14087" width="10.28515625" style="1" customWidth="1"/>
    <col min="14088" max="14088" width="3.5703125" style="1" customWidth="1"/>
    <col min="14089" max="14089" width="10.7109375" style="1" customWidth="1"/>
    <col min="14090" max="14090" width="10.85546875" style="1" customWidth="1"/>
    <col min="14091" max="14091" width="11.28515625" style="1" customWidth="1"/>
    <col min="14092" max="14093" width="11.5703125" style="1" customWidth="1"/>
    <col min="14094" max="14094" width="10.7109375" style="1" customWidth="1"/>
    <col min="14095" max="14095" width="10.5703125" style="1" customWidth="1"/>
    <col min="14096" max="14096" width="10.7109375" style="1" customWidth="1"/>
    <col min="14097" max="14097" width="16.140625" style="1" customWidth="1"/>
    <col min="14098" max="14336" width="9.140625" style="1"/>
    <col min="14337" max="14337" width="28.42578125" style="1" customWidth="1"/>
    <col min="14338" max="14338" width="10.5703125" style="1" customWidth="1"/>
    <col min="14339" max="14339" width="10.7109375" style="1" customWidth="1"/>
    <col min="14340" max="14340" width="9.5703125" style="1" customWidth="1"/>
    <col min="14341" max="14341" width="10.7109375" style="1" customWidth="1"/>
    <col min="14342" max="14343" width="10.28515625" style="1" customWidth="1"/>
    <col min="14344" max="14344" width="3.5703125" style="1" customWidth="1"/>
    <col min="14345" max="14345" width="10.7109375" style="1" customWidth="1"/>
    <col min="14346" max="14346" width="10.85546875" style="1" customWidth="1"/>
    <col min="14347" max="14347" width="11.28515625" style="1" customWidth="1"/>
    <col min="14348" max="14349" width="11.5703125" style="1" customWidth="1"/>
    <col min="14350" max="14350" width="10.7109375" style="1" customWidth="1"/>
    <col min="14351" max="14351" width="10.5703125" style="1" customWidth="1"/>
    <col min="14352" max="14352" width="10.7109375" style="1" customWidth="1"/>
    <col min="14353" max="14353" width="16.140625" style="1" customWidth="1"/>
    <col min="14354" max="14592" width="9.140625" style="1"/>
    <col min="14593" max="14593" width="28.42578125" style="1" customWidth="1"/>
    <col min="14594" max="14594" width="10.5703125" style="1" customWidth="1"/>
    <col min="14595" max="14595" width="10.7109375" style="1" customWidth="1"/>
    <col min="14596" max="14596" width="9.5703125" style="1" customWidth="1"/>
    <col min="14597" max="14597" width="10.7109375" style="1" customWidth="1"/>
    <col min="14598" max="14599" width="10.28515625" style="1" customWidth="1"/>
    <col min="14600" max="14600" width="3.5703125" style="1" customWidth="1"/>
    <col min="14601" max="14601" width="10.7109375" style="1" customWidth="1"/>
    <col min="14602" max="14602" width="10.85546875" style="1" customWidth="1"/>
    <col min="14603" max="14603" width="11.28515625" style="1" customWidth="1"/>
    <col min="14604" max="14605" width="11.5703125" style="1" customWidth="1"/>
    <col min="14606" max="14606" width="10.7109375" style="1" customWidth="1"/>
    <col min="14607" max="14607" width="10.5703125" style="1" customWidth="1"/>
    <col min="14608" max="14608" width="10.7109375" style="1" customWidth="1"/>
    <col min="14609" max="14609" width="16.140625" style="1" customWidth="1"/>
    <col min="14610" max="14848" width="9.140625" style="1"/>
    <col min="14849" max="14849" width="28.42578125" style="1" customWidth="1"/>
    <col min="14850" max="14850" width="10.5703125" style="1" customWidth="1"/>
    <col min="14851" max="14851" width="10.7109375" style="1" customWidth="1"/>
    <col min="14852" max="14852" width="9.5703125" style="1" customWidth="1"/>
    <col min="14853" max="14853" width="10.7109375" style="1" customWidth="1"/>
    <col min="14854" max="14855" width="10.28515625" style="1" customWidth="1"/>
    <col min="14856" max="14856" width="3.5703125" style="1" customWidth="1"/>
    <col min="14857" max="14857" width="10.7109375" style="1" customWidth="1"/>
    <col min="14858" max="14858" width="10.85546875" style="1" customWidth="1"/>
    <col min="14859" max="14859" width="11.28515625" style="1" customWidth="1"/>
    <col min="14860" max="14861" width="11.5703125" style="1" customWidth="1"/>
    <col min="14862" max="14862" width="10.7109375" style="1" customWidth="1"/>
    <col min="14863" max="14863" width="10.5703125" style="1" customWidth="1"/>
    <col min="14864" max="14864" width="10.7109375" style="1" customWidth="1"/>
    <col min="14865" max="14865" width="16.140625" style="1" customWidth="1"/>
    <col min="14866" max="15104" width="9.140625" style="1"/>
    <col min="15105" max="15105" width="28.42578125" style="1" customWidth="1"/>
    <col min="15106" max="15106" width="10.5703125" style="1" customWidth="1"/>
    <col min="15107" max="15107" width="10.7109375" style="1" customWidth="1"/>
    <col min="15108" max="15108" width="9.5703125" style="1" customWidth="1"/>
    <col min="15109" max="15109" width="10.7109375" style="1" customWidth="1"/>
    <col min="15110" max="15111" width="10.28515625" style="1" customWidth="1"/>
    <col min="15112" max="15112" width="3.5703125" style="1" customWidth="1"/>
    <col min="15113" max="15113" width="10.7109375" style="1" customWidth="1"/>
    <col min="15114" max="15114" width="10.85546875" style="1" customWidth="1"/>
    <col min="15115" max="15115" width="11.28515625" style="1" customWidth="1"/>
    <col min="15116" max="15117" width="11.5703125" style="1" customWidth="1"/>
    <col min="15118" max="15118" width="10.7109375" style="1" customWidth="1"/>
    <col min="15119" max="15119" width="10.5703125" style="1" customWidth="1"/>
    <col min="15120" max="15120" width="10.7109375" style="1" customWidth="1"/>
    <col min="15121" max="15121" width="16.140625" style="1" customWidth="1"/>
    <col min="15122" max="15360" width="9.140625" style="1"/>
    <col min="15361" max="15361" width="28.42578125" style="1" customWidth="1"/>
    <col min="15362" max="15362" width="10.5703125" style="1" customWidth="1"/>
    <col min="15363" max="15363" width="10.7109375" style="1" customWidth="1"/>
    <col min="15364" max="15364" width="9.5703125" style="1" customWidth="1"/>
    <col min="15365" max="15365" width="10.7109375" style="1" customWidth="1"/>
    <col min="15366" max="15367" width="10.28515625" style="1" customWidth="1"/>
    <col min="15368" max="15368" width="3.5703125" style="1" customWidth="1"/>
    <col min="15369" max="15369" width="10.7109375" style="1" customWidth="1"/>
    <col min="15370" max="15370" width="10.85546875" style="1" customWidth="1"/>
    <col min="15371" max="15371" width="11.28515625" style="1" customWidth="1"/>
    <col min="15372" max="15373" width="11.5703125" style="1" customWidth="1"/>
    <col min="15374" max="15374" width="10.7109375" style="1" customWidth="1"/>
    <col min="15375" max="15375" width="10.5703125" style="1" customWidth="1"/>
    <col min="15376" max="15376" width="10.7109375" style="1" customWidth="1"/>
    <col min="15377" max="15377" width="16.140625" style="1" customWidth="1"/>
    <col min="15378" max="15616" width="9.140625" style="1"/>
    <col min="15617" max="15617" width="28.42578125" style="1" customWidth="1"/>
    <col min="15618" max="15618" width="10.5703125" style="1" customWidth="1"/>
    <col min="15619" max="15619" width="10.7109375" style="1" customWidth="1"/>
    <col min="15620" max="15620" width="9.5703125" style="1" customWidth="1"/>
    <col min="15621" max="15621" width="10.7109375" style="1" customWidth="1"/>
    <col min="15622" max="15623" width="10.28515625" style="1" customWidth="1"/>
    <col min="15624" max="15624" width="3.5703125" style="1" customWidth="1"/>
    <col min="15625" max="15625" width="10.7109375" style="1" customWidth="1"/>
    <col min="15626" max="15626" width="10.85546875" style="1" customWidth="1"/>
    <col min="15627" max="15627" width="11.28515625" style="1" customWidth="1"/>
    <col min="15628" max="15629" width="11.5703125" style="1" customWidth="1"/>
    <col min="15630" max="15630" width="10.7109375" style="1" customWidth="1"/>
    <col min="15631" max="15631" width="10.5703125" style="1" customWidth="1"/>
    <col min="15632" max="15632" width="10.7109375" style="1" customWidth="1"/>
    <col min="15633" max="15633" width="16.140625" style="1" customWidth="1"/>
    <col min="15634" max="15872" width="9.140625" style="1"/>
    <col min="15873" max="15873" width="28.42578125" style="1" customWidth="1"/>
    <col min="15874" max="15874" width="10.5703125" style="1" customWidth="1"/>
    <col min="15875" max="15875" width="10.7109375" style="1" customWidth="1"/>
    <col min="15876" max="15876" width="9.5703125" style="1" customWidth="1"/>
    <col min="15877" max="15877" width="10.7109375" style="1" customWidth="1"/>
    <col min="15878" max="15879" width="10.28515625" style="1" customWidth="1"/>
    <col min="15880" max="15880" width="3.5703125" style="1" customWidth="1"/>
    <col min="15881" max="15881" width="10.7109375" style="1" customWidth="1"/>
    <col min="15882" max="15882" width="10.85546875" style="1" customWidth="1"/>
    <col min="15883" max="15883" width="11.28515625" style="1" customWidth="1"/>
    <col min="15884" max="15885" width="11.5703125" style="1" customWidth="1"/>
    <col min="15886" max="15886" width="10.7109375" style="1" customWidth="1"/>
    <col min="15887" max="15887" width="10.5703125" style="1" customWidth="1"/>
    <col min="15888" max="15888" width="10.7109375" style="1" customWidth="1"/>
    <col min="15889" max="15889" width="16.140625" style="1" customWidth="1"/>
    <col min="15890" max="16128" width="9.140625" style="1"/>
    <col min="16129" max="16129" width="28.42578125" style="1" customWidth="1"/>
    <col min="16130" max="16130" width="10.5703125" style="1" customWidth="1"/>
    <col min="16131" max="16131" width="10.7109375" style="1" customWidth="1"/>
    <col min="16132" max="16132" width="9.5703125" style="1" customWidth="1"/>
    <col min="16133" max="16133" width="10.7109375" style="1" customWidth="1"/>
    <col min="16134" max="16135" width="10.28515625" style="1" customWidth="1"/>
    <col min="16136" max="16136" width="3.5703125" style="1" customWidth="1"/>
    <col min="16137" max="16137" width="10.7109375" style="1" customWidth="1"/>
    <col min="16138" max="16138" width="10.85546875" style="1" customWidth="1"/>
    <col min="16139" max="16139" width="11.28515625" style="1" customWidth="1"/>
    <col min="16140" max="16141" width="11.5703125" style="1" customWidth="1"/>
    <col min="16142" max="16142" width="10.7109375" style="1" customWidth="1"/>
    <col min="16143" max="16143" width="10.5703125" style="1" customWidth="1"/>
    <col min="16144" max="16144" width="10.7109375" style="1" customWidth="1"/>
    <col min="16145" max="16145" width="16.140625" style="1" customWidth="1"/>
    <col min="16146" max="16384" width="9.140625" style="1"/>
  </cols>
  <sheetData>
    <row r="1" spans="1:17" ht="11.25" customHeight="1" x14ac:dyDescent="0.2"/>
    <row r="2" spans="1:17" ht="18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8" customHeight="1" x14ac:dyDescent="0.25">
      <c r="A3" s="179" t="s">
        <v>45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1.25" customHeight="1" x14ac:dyDescent="0.25">
      <c r="A4" s="2"/>
      <c r="B4" s="72"/>
      <c r="C4" s="73"/>
      <c r="D4" s="73"/>
      <c r="E4" s="73"/>
      <c r="F4" s="73"/>
      <c r="G4" s="73"/>
      <c r="H4" s="74"/>
      <c r="I4" s="73"/>
      <c r="J4" s="73"/>
      <c r="K4" s="73"/>
      <c r="L4" s="73"/>
      <c r="M4" s="73"/>
      <c r="N4" s="73"/>
      <c r="O4" s="73"/>
      <c r="P4" s="73"/>
      <c r="Q4" s="75" t="s">
        <v>37</v>
      </c>
    </row>
    <row r="5" spans="1:17" s="3" customFormat="1" ht="30.75" customHeight="1" x14ac:dyDescent="0.2">
      <c r="A5" s="90"/>
      <c r="B5" s="91" t="s">
        <v>48</v>
      </c>
      <c r="C5" s="91" t="s">
        <v>38</v>
      </c>
      <c r="D5" s="91" t="s">
        <v>39</v>
      </c>
      <c r="E5" s="91" t="s">
        <v>3</v>
      </c>
      <c r="F5" s="91" t="s">
        <v>4</v>
      </c>
      <c r="G5" s="91" t="s">
        <v>5</v>
      </c>
      <c r="H5" s="92"/>
      <c r="I5" s="93" t="s">
        <v>6</v>
      </c>
      <c r="J5" s="93" t="s">
        <v>7</v>
      </c>
      <c r="K5" s="91" t="s">
        <v>41</v>
      </c>
      <c r="L5" s="93" t="s">
        <v>9</v>
      </c>
      <c r="M5" s="91" t="s">
        <v>42</v>
      </c>
      <c r="N5" s="93" t="s">
        <v>10</v>
      </c>
      <c r="O5" s="93" t="s">
        <v>11</v>
      </c>
      <c r="P5" s="93" t="s">
        <v>12</v>
      </c>
      <c r="Q5" s="94" t="s">
        <v>13</v>
      </c>
    </row>
    <row r="6" spans="1:17" ht="18" customHeight="1" x14ac:dyDescent="0.2">
      <c r="A6" s="95" t="s">
        <v>14</v>
      </c>
      <c r="B6" s="78"/>
      <c r="C6" s="76"/>
      <c r="D6" s="76"/>
      <c r="E6" s="77"/>
      <c r="F6" s="76"/>
      <c r="G6" s="76"/>
      <c r="H6" s="76"/>
      <c r="I6" s="76"/>
      <c r="J6" s="76"/>
      <c r="K6" s="76"/>
      <c r="L6" s="76"/>
      <c r="M6" s="78"/>
      <c r="N6" s="76"/>
      <c r="O6" s="76"/>
      <c r="P6" s="78"/>
      <c r="Q6" s="79"/>
    </row>
    <row r="7" spans="1:17" ht="22.5" customHeight="1" x14ac:dyDescent="0.2">
      <c r="A7" s="96" t="s">
        <v>15</v>
      </c>
      <c r="B7" s="84">
        <v>121536</v>
      </c>
      <c r="C7" s="80">
        <v>700771</v>
      </c>
      <c r="D7" s="80">
        <v>17956</v>
      </c>
      <c r="E7" s="80">
        <v>144828</v>
      </c>
      <c r="F7" s="80">
        <v>60238</v>
      </c>
      <c r="G7" s="80">
        <v>82922</v>
      </c>
      <c r="H7" s="80"/>
      <c r="I7" s="80">
        <v>174379</v>
      </c>
      <c r="J7" s="80">
        <v>656157</v>
      </c>
      <c r="K7" s="80">
        <v>1520070</v>
      </c>
      <c r="L7" s="80">
        <v>378187</v>
      </c>
      <c r="M7" s="80">
        <v>226646</v>
      </c>
      <c r="N7" s="80">
        <v>611052</v>
      </c>
      <c r="O7" s="80">
        <v>212529</v>
      </c>
      <c r="P7" s="80">
        <v>1339600</v>
      </c>
      <c r="Q7" s="81">
        <f>SUM(B7:P7)</f>
        <v>6246871</v>
      </c>
    </row>
    <row r="8" spans="1:17" ht="22.5" customHeight="1" x14ac:dyDescent="0.2">
      <c r="A8" s="96" t="s">
        <v>16</v>
      </c>
      <c r="B8" s="84">
        <v>13233</v>
      </c>
      <c r="C8" s="80">
        <v>385663</v>
      </c>
      <c r="D8" s="80">
        <v>12827</v>
      </c>
      <c r="E8" s="80">
        <v>11031</v>
      </c>
      <c r="F8" s="80">
        <v>7215</v>
      </c>
      <c r="G8" s="80">
        <v>62623</v>
      </c>
      <c r="H8" s="80"/>
      <c r="I8" s="80">
        <v>16942</v>
      </c>
      <c r="J8" s="80">
        <v>314228</v>
      </c>
      <c r="K8" s="80">
        <v>275978</v>
      </c>
      <c r="L8" s="80">
        <v>56084</v>
      </c>
      <c r="M8" s="80">
        <v>15650</v>
      </c>
      <c r="N8" s="80">
        <v>311108</v>
      </c>
      <c r="O8" s="80">
        <v>47386</v>
      </c>
      <c r="P8" s="80">
        <v>788919</v>
      </c>
      <c r="Q8" s="81">
        <f>SUM(B8:P8)</f>
        <v>2318887</v>
      </c>
    </row>
    <row r="9" spans="1:17" ht="22.5" customHeight="1" x14ac:dyDescent="0.2">
      <c r="A9" s="96" t="s">
        <v>17</v>
      </c>
      <c r="B9" s="80">
        <f t="shared" ref="B9:P9" si="0">B7-B8</f>
        <v>108303</v>
      </c>
      <c r="C9" s="80">
        <f t="shared" si="0"/>
        <v>315108</v>
      </c>
      <c r="D9" s="80">
        <f t="shared" si="0"/>
        <v>5129</v>
      </c>
      <c r="E9" s="80">
        <f t="shared" si="0"/>
        <v>133797</v>
      </c>
      <c r="F9" s="80">
        <f t="shared" si="0"/>
        <v>53023</v>
      </c>
      <c r="G9" s="80">
        <f t="shared" si="0"/>
        <v>20299</v>
      </c>
      <c r="H9" s="80"/>
      <c r="I9" s="80">
        <f t="shared" si="0"/>
        <v>157437</v>
      </c>
      <c r="J9" s="80">
        <f t="shared" si="0"/>
        <v>341929</v>
      </c>
      <c r="K9" s="80">
        <f t="shared" si="0"/>
        <v>1244092</v>
      </c>
      <c r="L9" s="80">
        <f t="shared" si="0"/>
        <v>322103</v>
      </c>
      <c r="M9" s="80">
        <f t="shared" si="0"/>
        <v>210996</v>
      </c>
      <c r="N9" s="80">
        <f t="shared" si="0"/>
        <v>299944</v>
      </c>
      <c r="O9" s="80">
        <f t="shared" si="0"/>
        <v>165143</v>
      </c>
      <c r="P9" s="80">
        <f t="shared" si="0"/>
        <v>550681</v>
      </c>
      <c r="Q9" s="81">
        <f>SUM(B9:P9)</f>
        <v>3927984</v>
      </c>
    </row>
    <row r="10" spans="1:17" ht="26.25" customHeight="1" x14ac:dyDescent="0.2">
      <c r="A10" s="97" t="s">
        <v>46</v>
      </c>
      <c r="B10" s="98">
        <f>35198-55910</f>
        <v>-20712</v>
      </c>
      <c r="C10" s="99">
        <f>97517-112274</f>
        <v>-14757</v>
      </c>
      <c r="D10" s="99">
        <f>1135-1726</f>
        <v>-591</v>
      </c>
      <c r="E10" s="99">
        <f>49711-63751</f>
        <v>-14040</v>
      </c>
      <c r="F10" s="99">
        <f>19995-21209</f>
        <v>-1214</v>
      </c>
      <c r="G10" s="99">
        <f>2109-13109</f>
        <v>-11000</v>
      </c>
      <c r="H10" s="99"/>
      <c r="I10" s="99">
        <f>59302-63110</f>
        <v>-3808</v>
      </c>
      <c r="J10" s="99">
        <f>109144-167088</f>
        <v>-57944</v>
      </c>
      <c r="K10" s="99">
        <f>350472+120940-558542</f>
        <v>-87130</v>
      </c>
      <c r="L10" s="99">
        <f>142029-162038</f>
        <v>-20009</v>
      </c>
      <c r="M10" s="99">
        <f>72710-84398</f>
        <v>-11688</v>
      </c>
      <c r="N10" s="99">
        <f>107179-123635</f>
        <v>-16456</v>
      </c>
      <c r="O10" s="99">
        <f>63343-69125</f>
        <v>-5782</v>
      </c>
      <c r="P10" s="99">
        <f>247258-257520</f>
        <v>-10262</v>
      </c>
      <c r="Q10" s="100">
        <f>SUM(B10:P10)</f>
        <v>-275393</v>
      </c>
    </row>
    <row r="11" spans="1:17" ht="22.5" customHeight="1" x14ac:dyDescent="0.2">
      <c r="A11" s="105" t="s">
        <v>18</v>
      </c>
      <c r="B11" s="106">
        <f t="shared" ref="B11:P11" si="1">B9+B10</f>
        <v>87591</v>
      </c>
      <c r="C11" s="106">
        <f t="shared" si="1"/>
        <v>300351</v>
      </c>
      <c r="D11" s="106">
        <f t="shared" si="1"/>
        <v>4538</v>
      </c>
      <c r="E11" s="106">
        <f t="shared" si="1"/>
        <v>119757</v>
      </c>
      <c r="F11" s="106">
        <f t="shared" si="1"/>
        <v>51809</v>
      </c>
      <c r="G11" s="106">
        <f t="shared" si="1"/>
        <v>9299</v>
      </c>
      <c r="H11" s="106"/>
      <c r="I11" s="106">
        <f t="shared" si="1"/>
        <v>153629</v>
      </c>
      <c r="J11" s="106">
        <f t="shared" si="1"/>
        <v>283985</v>
      </c>
      <c r="K11" s="106">
        <f t="shared" si="1"/>
        <v>1156962</v>
      </c>
      <c r="L11" s="106">
        <f t="shared" si="1"/>
        <v>302094</v>
      </c>
      <c r="M11" s="106">
        <f t="shared" si="1"/>
        <v>199308</v>
      </c>
      <c r="N11" s="106">
        <f t="shared" si="1"/>
        <v>283488</v>
      </c>
      <c r="O11" s="106">
        <f t="shared" si="1"/>
        <v>159361</v>
      </c>
      <c r="P11" s="106">
        <f t="shared" si="1"/>
        <v>540419</v>
      </c>
      <c r="Q11" s="107">
        <f>SUM(B11:P11)</f>
        <v>3652591</v>
      </c>
    </row>
    <row r="12" spans="1:17" ht="18" customHeight="1" x14ac:dyDescent="0.2">
      <c r="A12" s="101" t="s">
        <v>19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4"/>
    </row>
    <row r="13" spans="1:17" ht="22.5" customHeight="1" x14ac:dyDescent="0.2">
      <c r="A13" s="96" t="s">
        <v>20</v>
      </c>
      <c r="B13" s="84">
        <v>188233</v>
      </c>
      <c r="C13" s="80">
        <v>391200</v>
      </c>
      <c r="D13" s="80">
        <v>672</v>
      </c>
      <c r="E13" s="80">
        <v>69882</v>
      </c>
      <c r="F13" s="80">
        <v>28510</v>
      </c>
      <c r="G13" s="80">
        <v>22010</v>
      </c>
      <c r="H13" s="80"/>
      <c r="I13" s="80">
        <v>88857</v>
      </c>
      <c r="J13" s="80">
        <v>208795</v>
      </c>
      <c r="K13" s="80">
        <v>969356</v>
      </c>
      <c r="L13" s="80">
        <v>142853</v>
      </c>
      <c r="M13" s="80">
        <v>131179</v>
      </c>
      <c r="N13" s="80">
        <v>301928</v>
      </c>
      <c r="O13" s="80">
        <v>73000</v>
      </c>
      <c r="P13" s="80">
        <v>633733</v>
      </c>
      <c r="Q13" s="81">
        <f>SUM(B13:P13)</f>
        <v>3250208</v>
      </c>
    </row>
    <row r="14" spans="1:17" ht="22.5" customHeight="1" x14ac:dyDescent="0.2">
      <c r="A14" s="96" t="s">
        <v>16</v>
      </c>
      <c r="B14" s="84">
        <v>60486</v>
      </c>
      <c r="C14" s="80">
        <v>235676</v>
      </c>
      <c r="D14" s="80">
        <v>504</v>
      </c>
      <c r="E14" s="80">
        <v>10192</v>
      </c>
      <c r="F14" s="80">
        <v>2523</v>
      </c>
      <c r="G14" s="80">
        <v>15987</v>
      </c>
      <c r="H14" s="80"/>
      <c r="I14" s="80">
        <v>10619</v>
      </c>
      <c r="J14" s="80">
        <v>76801</v>
      </c>
      <c r="K14" s="80">
        <v>108946</v>
      </c>
      <c r="L14" s="80">
        <v>24877</v>
      </c>
      <c r="M14" s="80">
        <v>16039</v>
      </c>
      <c r="N14" s="80">
        <v>164753</v>
      </c>
      <c r="O14" s="80">
        <v>8453</v>
      </c>
      <c r="P14" s="80">
        <v>363967</v>
      </c>
      <c r="Q14" s="81">
        <f>SUM(B14:P14)</f>
        <v>1099823</v>
      </c>
    </row>
    <row r="15" spans="1:17" ht="22.5" customHeight="1" x14ac:dyDescent="0.2">
      <c r="A15" s="96" t="s">
        <v>21</v>
      </c>
      <c r="B15" s="80">
        <f t="shared" ref="B15:P15" si="2">B13-B14</f>
        <v>127747</v>
      </c>
      <c r="C15" s="80">
        <f t="shared" si="2"/>
        <v>155524</v>
      </c>
      <c r="D15" s="80">
        <f t="shared" si="2"/>
        <v>168</v>
      </c>
      <c r="E15" s="80">
        <f t="shared" si="2"/>
        <v>59690</v>
      </c>
      <c r="F15" s="80">
        <f t="shared" si="2"/>
        <v>25987</v>
      </c>
      <c r="G15" s="80">
        <f t="shared" si="2"/>
        <v>6023</v>
      </c>
      <c r="H15" s="80"/>
      <c r="I15" s="80">
        <f t="shared" si="2"/>
        <v>78238</v>
      </c>
      <c r="J15" s="80">
        <f t="shared" si="2"/>
        <v>131994</v>
      </c>
      <c r="K15" s="80">
        <f t="shared" si="2"/>
        <v>860410</v>
      </c>
      <c r="L15" s="80">
        <f t="shared" si="2"/>
        <v>117976</v>
      </c>
      <c r="M15" s="80">
        <f t="shared" si="2"/>
        <v>115140</v>
      </c>
      <c r="N15" s="80">
        <f t="shared" si="2"/>
        <v>137175</v>
      </c>
      <c r="O15" s="80">
        <f t="shared" si="2"/>
        <v>64547</v>
      </c>
      <c r="P15" s="80">
        <f t="shared" si="2"/>
        <v>269766</v>
      </c>
      <c r="Q15" s="81">
        <f>SUM(B15:P15)</f>
        <v>2150385</v>
      </c>
    </row>
    <row r="16" spans="1:17" ht="27.75" customHeight="1" x14ac:dyDescent="0.2">
      <c r="A16" s="97" t="s">
        <v>47</v>
      </c>
      <c r="B16" s="99">
        <f>22767-981</f>
        <v>21786</v>
      </c>
      <c r="C16" s="99">
        <f>70826-72895</f>
        <v>-2069</v>
      </c>
      <c r="D16" s="108">
        <f>666</f>
        <v>666</v>
      </c>
      <c r="E16" s="108">
        <f>154134-132713</f>
        <v>21421</v>
      </c>
      <c r="F16" s="99">
        <f>59763-59775</f>
        <v>-12</v>
      </c>
      <c r="G16" s="99">
        <f>5277-2695</f>
        <v>2582</v>
      </c>
      <c r="H16" s="99"/>
      <c r="I16" s="108">
        <f>72035-61478</f>
        <v>10557</v>
      </c>
      <c r="J16" s="108">
        <f>135048-111760</f>
        <v>23288</v>
      </c>
      <c r="K16" s="99">
        <f>582860-202547-532768</f>
        <v>-152455</v>
      </c>
      <c r="L16" s="108">
        <f>234173-190635</f>
        <v>43538</v>
      </c>
      <c r="M16" s="99">
        <f>42006-43256</f>
        <v>-1250</v>
      </c>
      <c r="N16" s="99">
        <f>128804-133984</f>
        <v>-5180</v>
      </c>
      <c r="O16" s="108">
        <f>180063-141134</f>
        <v>38929</v>
      </c>
      <c r="P16" s="108">
        <f>186851-168442</f>
        <v>18409</v>
      </c>
      <c r="Q16" s="109">
        <f>SUM(B16:P16)</f>
        <v>20210</v>
      </c>
    </row>
    <row r="17" spans="1:17" ht="22.5" customHeight="1" x14ac:dyDescent="0.2">
      <c r="A17" s="105" t="s">
        <v>22</v>
      </c>
      <c r="B17" s="106">
        <f t="shared" ref="B17:P17" si="3">B15+B16</f>
        <v>149533</v>
      </c>
      <c r="C17" s="106">
        <f t="shared" si="3"/>
        <v>153455</v>
      </c>
      <c r="D17" s="106">
        <f t="shared" si="3"/>
        <v>834</v>
      </c>
      <c r="E17" s="106">
        <f t="shared" si="3"/>
        <v>81111</v>
      </c>
      <c r="F17" s="106">
        <f t="shared" si="3"/>
        <v>25975</v>
      </c>
      <c r="G17" s="106">
        <f t="shared" si="3"/>
        <v>8605</v>
      </c>
      <c r="H17" s="106"/>
      <c r="I17" s="106">
        <f t="shared" si="3"/>
        <v>88795</v>
      </c>
      <c r="J17" s="106">
        <f t="shared" si="3"/>
        <v>155282</v>
      </c>
      <c r="K17" s="106">
        <f t="shared" si="3"/>
        <v>707955</v>
      </c>
      <c r="L17" s="106">
        <f t="shared" si="3"/>
        <v>161514</v>
      </c>
      <c r="M17" s="106">
        <f t="shared" si="3"/>
        <v>113890</v>
      </c>
      <c r="N17" s="106">
        <f t="shared" si="3"/>
        <v>131995</v>
      </c>
      <c r="O17" s="106">
        <f t="shared" si="3"/>
        <v>103476</v>
      </c>
      <c r="P17" s="106">
        <f t="shared" si="3"/>
        <v>288175</v>
      </c>
      <c r="Q17" s="107">
        <f>SUM(B17:P17)</f>
        <v>2170595</v>
      </c>
    </row>
    <row r="18" spans="1:17" ht="18" customHeight="1" x14ac:dyDescent="0.2">
      <c r="A18" s="101" t="s">
        <v>23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4"/>
    </row>
    <row r="19" spans="1:17" ht="22.5" customHeight="1" x14ac:dyDescent="0.2">
      <c r="A19" s="96" t="s">
        <v>24</v>
      </c>
      <c r="B19" s="84">
        <v>36259</v>
      </c>
      <c r="C19" s="80">
        <v>65181</v>
      </c>
      <c r="D19" s="80">
        <v>5349</v>
      </c>
      <c r="E19" s="80">
        <v>1234</v>
      </c>
      <c r="F19" s="80">
        <v>1447</v>
      </c>
      <c r="G19" s="80">
        <v>8201</v>
      </c>
      <c r="H19" s="80"/>
      <c r="I19" s="80">
        <v>2498</v>
      </c>
      <c r="J19" s="80">
        <v>54077</v>
      </c>
      <c r="K19" s="80">
        <v>55669</v>
      </c>
      <c r="L19" s="80">
        <v>7580</v>
      </c>
      <c r="M19" s="80">
        <v>3442</v>
      </c>
      <c r="N19" s="80">
        <v>46457</v>
      </c>
      <c r="O19" s="80">
        <v>9343</v>
      </c>
      <c r="P19" s="80">
        <v>197938</v>
      </c>
      <c r="Q19" s="81">
        <f t="shared" ref="Q19:Q25" si="4">SUM(B19:P19)</f>
        <v>494675</v>
      </c>
    </row>
    <row r="20" spans="1:17" ht="22.5" customHeight="1" x14ac:dyDescent="0.2">
      <c r="A20" s="97" t="s">
        <v>25</v>
      </c>
      <c r="B20" s="98">
        <v>2883</v>
      </c>
      <c r="C20" s="108">
        <v>68930</v>
      </c>
      <c r="D20" s="108">
        <v>340</v>
      </c>
      <c r="E20" s="108">
        <v>7267</v>
      </c>
      <c r="F20" s="108">
        <v>6452</v>
      </c>
      <c r="G20" s="108">
        <v>4797</v>
      </c>
      <c r="H20" s="108"/>
      <c r="I20" s="108">
        <v>15206</v>
      </c>
      <c r="J20" s="108">
        <v>60066</v>
      </c>
      <c r="K20" s="108">
        <v>101119</v>
      </c>
      <c r="L20" s="108">
        <v>57205</v>
      </c>
      <c r="M20" s="108">
        <v>20986</v>
      </c>
      <c r="N20" s="108">
        <v>22685</v>
      </c>
      <c r="O20" s="108">
        <v>16274</v>
      </c>
      <c r="P20" s="108">
        <v>132201</v>
      </c>
      <c r="Q20" s="109">
        <f t="shared" si="4"/>
        <v>516411</v>
      </c>
    </row>
    <row r="21" spans="1:17" ht="22.5" customHeight="1" x14ac:dyDescent="0.2">
      <c r="A21" s="105" t="s">
        <v>26</v>
      </c>
      <c r="B21" s="106">
        <f t="shared" ref="B21:P21" si="5">B19-B20</f>
        <v>33376</v>
      </c>
      <c r="C21" s="110">
        <f t="shared" si="5"/>
        <v>-3749</v>
      </c>
      <c r="D21" s="106">
        <f t="shared" si="5"/>
        <v>5009</v>
      </c>
      <c r="E21" s="110">
        <f t="shared" si="5"/>
        <v>-6033</v>
      </c>
      <c r="F21" s="110">
        <f t="shared" si="5"/>
        <v>-5005</v>
      </c>
      <c r="G21" s="110">
        <f t="shared" si="5"/>
        <v>3404</v>
      </c>
      <c r="H21" s="110"/>
      <c r="I21" s="110">
        <f t="shared" si="5"/>
        <v>-12708</v>
      </c>
      <c r="J21" s="110">
        <f t="shared" si="5"/>
        <v>-5989</v>
      </c>
      <c r="K21" s="110">
        <f t="shared" si="5"/>
        <v>-45450</v>
      </c>
      <c r="L21" s="110">
        <f t="shared" si="5"/>
        <v>-49625</v>
      </c>
      <c r="M21" s="110">
        <f t="shared" si="5"/>
        <v>-17544</v>
      </c>
      <c r="N21" s="106">
        <f t="shared" si="5"/>
        <v>23772</v>
      </c>
      <c r="O21" s="110">
        <f t="shared" si="5"/>
        <v>-6931</v>
      </c>
      <c r="P21" s="106">
        <f t="shared" si="5"/>
        <v>65737</v>
      </c>
      <c r="Q21" s="111">
        <f t="shared" si="4"/>
        <v>-21736</v>
      </c>
    </row>
    <row r="22" spans="1:17" ht="18" customHeight="1" x14ac:dyDescent="0.2">
      <c r="A22" s="112" t="s">
        <v>27</v>
      </c>
      <c r="B22" s="113">
        <v>8066</v>
      </c>
      <c r="C22" s="106">
        <v>115665</v>
      </c>
      <c r="D22" s="106">
        <v>9655</v>
      </c>
      <c r="E22" s="106">
        <v>25441</v>
      </c>
      <c r="F22" s="106">
        <v>12215</v>
      </c>
      <c r="G22" s="106">
        <v>22415</v>
      </c>
      <c r="H22" s="106"/>
      <c r="I22" s="106">
        <v>30271</v>
      </c>
      <c r="J22" s="106">
        <v>75588</v>
      </c>
      <c r="K22" s="106">
        <v>268624</v>
      </c>
      <c r="L22" s="106">
        <v>33472</v>
      </c>
      <c r="M22" s="106">
        <v>59824</v>
      </c>
      <c r="N22" s="106">
        <v>103957</v>
      </c>
      <c r="O22" s="106">
        <v>50053</v>
      </c>
      <c r="P22" s="106">
        <v>178869</v>
      </c>
      <c r="Q22" s="107">
        <f t="shared" si="4"/>
        <v>994115</v>
      </c>
    </row>
    <row r="23" spans="1:17" ht="25.5" customHeight="1" x14ac:dyDescent="0.2">
      <c r="A23" s="112" t="s">
        <v>28</v>
      </c>
      <c r="B23" s="110">
        <f t="shared" ref="B23:G23" si="6">B11-B17+B21-B22</f>
        <v>-36632</v>
      </c>
      <c r="C23" s="110">
        <f t="shared" si="6"/>
        <v>27482</v>
      </c>
      <c r="D23" s="110">
        <f t="shared" si="6"/>
        <v>-942</v>
      </c>
      <c r="E23" s="110">
        <f t="shared" si="6"/>
        <v>7172</v>
      </c>
      <c r="F23" s="110">
        <f t="shared" si="6"/>
        <v>8614</v>
      </c>
      <c r="G23" s="110">
        <f t="shared" si="6"/>
        <v>-18317</v>
      </c>
      <c r="H23" s="110"/>
      <c r="I23" s="110">
        <f t="shared" ref="I23:P23" si="7">I11-I17+I21-I22</f>
        <v>21855</v>
      </c>
      <c r="J23" s="110">
        <f t="shared" si="7"/>
        <v>47126</v>
      </c>
      <c r="K23" s="110">
        <f t="shared" si="7"/>
        <v>134933</v>
      </c>
      <c r="L23" s="106">
        <f t="shared" si="7"/>
        <v>57483</v>
      </c>
      <c r="M23" s="106">
        <f t="shared" si="7"/>
        <v>8050</v>
      </c>
      <c r="N23" s="110">
        <f t="shared" si="7"/>
        <v>71308</v>
      </c>
      <c r="O23" s="110">
        <f t="shared" si="7"/>
        <v>-1099</v>
      </c>
      <c r="P23" s="106">
        <f t="shared" si="7"/>
        <v>139112</v>
      </c>
      <c r="Q23" s="111">
        <f t="shared" si="4"/>
        <v>466145</v>
      </c>
    </row>
    <row r="24" spans="1:17" ht="17.25" customHeight="1" x14ac:dyDescent="0.2">
      <c r="A24" s="112" t="s">
        <v>29</v>
      </c>
      <c r="B24" s="113">
        <v>195</v>
      </c>
      <c r="C24" s="106">
        <v>13937</v>
      </c>
      <c r="D24" s="106">
        <v>518</v>
      </c>
      <c r="E24" s="106">
        <v>15639</v>
      </c>
      <c r="F24" s="106">
        <v>14708</v>
      </c>
      <c r="G24" s="106">
        <v>-24</v>
      </c>
      <c r="H24" s="106"/>
      <c r="I24" s="106">
        <v>8379</v>
      </c>
      <c r="J24" s="106">
        <v>17303</v>
      </c>
      <c r="K24" s="106">
        <v>526381</v>
      </c>
      <c r="L24" s="106">
        <v>50598</v>
      </c>
      <c r="M24" s="106">
        <v>1896</v>
      </c>
      <c r="N24" s="106">
        <v>22157</v>
      </c>
      <c r="O24" s="106">
        <v>21756</v>
      </c>
      <c r="P24" s="106">
        <v>86434</v>
      </c>
      <c r="Q24" s="107">
        <f t="shared" si="4"/>
        <v>779877</v>
      </c>
    </row>
    <row r="25" spans="1:17" ht="45" customHeight="1" x14ac:dyDescent="0.2">
      <c r="A25" s="112" t="s">
        <v>30</v>
      </c>
      <c r="B25" s="110">
        <f t="shared" ref="B25:G25" si="8">B23+B24</f>
        <v>-36437</v>
      </c>
      <c r="C25" s="106">
        <f t="shared" si="8"/>
        <v>41419</v>
      </c>
      <c r="D25" s="110">
        <f t="shared" si="8"/>
        <v>-424</v>
      </c>
      <c r="E25" s="110">
        <f t="shared" si="8"/>
        <v>22811</v>
      </c>
      <c r="F25" s="106">
        <f t="shared" si="8"/>
        <v>23322</v>
      </c>
      <c r="G25" s="110">
        <f t="shared" si="8"/>
        <v>-18341</v>
      </c>
      <c r="H25" s="110"/>
      <c r="I25" s="106">
        <f>SUM(I23:I24)</f>
        <v>30234</v>
      </c>
      <c r="J25" s="106">
        <f>SUM(J23:J24)</f>
        <v>64429</v>
      </c>
      <c r="K25" s="106">
        <f t="shared" ref="K25:P25" si="9">K23+K24</f>
        <v>661314</v>
      </c>
      <c r="L25" s="106">
        <f t="shared" si="9"/>
        <v>108081</v>
      </c>
      <c r="M25" s="106">
        <f t="shared" si="9"/>
        <v>9946</v>
      </c>
      <c r="N25" s="106">
        <f t="shared" si="9"/>
        <v>93465</v>
      </c>
      <c r="O25" s="106">
        <f t="shared" si="9"/>
        <v>20657</v>
      </c>
      <c r="P25" s="106">
        <f t="shared" si="9"/>
        <v>225546</v>
      </c>
      <c r="Q25" s="107">
        <f t="shared" si="4"/>
        <v>1246022</v>
      </c>
    </row>
    <row r="26" spans="1:17" ht="16.5" customHeigh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</row>
    <row r="27" spans="1:17" ht="16.5" customHeight="1" x14ac:dyDescent="0.2">
      <c r="A27" s="154" t="s">
        <v>85</v>
      </c>
      <c r="B27" s="89"/>
      <c r="C27" s="87"/>
      <c r="D27" s="89"/>
      <c r="E27" s="89"/>
      <c r="F27" s="87"/>
      <c r="G27" s="87"/>
      <c r="H27" s="89"/>
      <c r="I27" s="87"/>
      <c r="J27" s="87"/>
      <c r="K27" s="87"/>
      <c r="L27" s="87"/>
      <c r="M27" s="87"/>
      <c r="N27" s="87"/>
      <c r="O27" s="87"/>
      <c r="P27" s="87"/>
      <c r="Q27" s="88"/>
    </row>
    <row r="28" spans="1:17" x14ac:dyDescent="0.2">
      <c r="I28" s="22"/>
      <c r="J28" s="22"/>
      <c r="K28" s="22"/>
    </row>
    <row r="29" spans="1:17" x14ac:dyDescent="0.2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3"/>
    </row>
  </sheetData>
  <mergeCells count="2">
    <mergeCell ref="A2:Q2"/>
    <mergeCell ref="A3:Q3"/>
  </mergeCells>
  <printOptions horizontalCentered="1"/>
  <pageMargins left="0.5" right="0.5" top="0.36" bottom="0.36" header="0.25" footer="0.25"/>
  <pageSetup paperSize="9" scale="7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R28"/>
  <sheetViews>
    <sheetView showGridLines="0" zoomScale="85" zoomScaleNormal="85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A27" sqref="A27"/>
    </sheetView>
  </sheetViews>
  <sheetFormatPr defaultRowHeight="12.75" x14ac:dyDescent="0.2"/>
  <cols>
    <col min="1" max="1" width="28.42578125" style="25" customWidth="1"/>
    <col min="2" max="5" width="12.42578125" style="59" customWidth="1"/>
    <col min="6" max="11" width="11.5703125" style="59" customWidth="1"/>
    <col min="12" max="13" width="11.5703125" style="61" customWidth="1"/>
    <col min="14" max="16" width="11.5703125" style="59" customWidth="1"/>
    <col min="17" max="17" width="15.42578125" style="58" customWidth="1"/>
    <col min="18" max="18" width="9.7109375" style="25" customWidth="1"/>
    <col min="19" max="16384" width="9.140625" style="25"/>
  </cols>
  <sheetData>
    <row r="2" spans="1:18" ht="16.5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8" ht="16.5" customHeight="1" x14ac:dyDescent="0.25">
      <c r="A3" s="179" t="s">
        <v>36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8" ht="16.5" customHeight="1" x14ac:dyDescent="0.25">
      <c r="A4" s="26"/>
      <c r="B4" s="27"/>
      <c r="C4" s="28"/>
      <c r="D4" s="28"/>
      <c r="E4" s="2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 t="s">
        <v>37</v>
      </c>
    </row>
    <row r="5" spans="1:18" s="32" customFormat="1" ht="30" customHeight="1" x14ac:dyDescent="0.2">
      <c r="A5" s="30"/>
      <c r="B5" s="30" t="s">
        <v>1</v>
      </c>
      <c r="C5" s="30" t="s">
        <v>38</v>
      </c>
      <c r="D5" s="30" t="s">
        <v>39</v>
      </c>
      <c r="E5" s="30" t="s">
        <v>3</v>
      </c>
      <c r="F5" s="30" t="s">
        <v>4</v>
      </c>
      <c r="G5" s="30" t="s">
        <v>5</v>
      </c>
      <c r="H5" s="30" t="s">
        <v>40</v>
      </c>
      <c r="I5" s="30" t="s">
        <v>6</v>
      </c>
      <c r="J5" s="30" t="s">
        <v>7</v>
      </c>
      <c r="K5" s="30" t="s">
        <v>41</v>
      </c>
      <c r="L5" s="30" t="s">
        <v>9</v>
      </c>
      <c r="M5" s="30" t="s">
        <v>42</v>
      </c>
      <c r="N5" s="30" t="s">
        <v>10</v>
      </c>
      <c r="O5" s="30" t="s">
        <v>11</v>
      </c>
      <c r="P5" s="30" t="s">
        <v>12</v>
      </c>
      <c r="Q5" s="31" t="s">
        <v>13</v>
      </c>
    </row>
    <row r="6" spans="1:18" ht="27.75" customHeight="1" x14ac:dyDescent="0.2">
      <c r="A6" s="33" t="s">
        <v>14</v>
      </c>
      <c r="B6" s="34"/>
      <c r="C6" s="35"/>
      <c r="D6" s="35"/>
      <c r="E6" s="36"/>
      <c r="F6" s="35"/>
      <c r="G6" s="35"/>
      <c r="H6" s="35"/>
      <c r="I6" s="35"/>
      <c r="J6" s="35"/>
      <c r="K6" s="35"/>
      <c r="L6" s="35"/>
      <c r="M6" s="34"/>
      <c r="N6" s="35"/>
      <c r="O6" s="35"/>
      <c r="P6" s="34"/>
      <c r="Q6" s="37"/>
    </row>
    <row r="7" spans="1:18" ht="24" customHeight="1" x14ac:dyDescent="0.2">
      <c r="A7" s="38" t="s">
        <v>15</v>
      </c>
      <c r="B7" s="39">
        <v>85456.273000000001</v>
      </c>
      <c r="C7" s="40">
        <v>697657</v>
      </c>
      <c r="D7" s="40">
        <v>10036.751</v>
      </c>
      <c r="E7" s="40">
        <v>134643.10399999999</v>
      </c>
      <c r="F7" s="40">
        <v>55738</v>
      </c>
      <c r="G7" s="40">
        <v>2750.7719999999999</v>
      </c>
      <c r="H7" s="40">
        <v>519693.89</v>
      </c>
      <c r="I7" s="40">
        <v>163771.601</v>
      </c>
      <c r="J7" s="40">
        <v>283960.17200000002</v>
      </c>
      <c r="K7" s="40">
        <v>983123.39099999995</v>
      </c>
      <c r="L7" s="40">
        <v>342955.06900000002</v>
      </c>
      <c r="M7" s="40">
        <v>196242.58900000001</v>
      </c>
      <c r="N7" s="40">
        <v>659038.16200000001</v>
      </c>
      <c r="O7" s="40">
        <v>194213</v>
      </c>
      <c r="P7" s="40">
        <f>1223974.954+12453.232+8893.413</f>
        <v>1245321.5989999999</v>
      </c>
      <c r="Q7" s="41">
        <f t="shared" ref="Q7:Q24" si="0">SUM(B7:P7)</f>
        <v>5574601.3729999997</v>
      </c>
    </row>
    <row r="8" spans="1:18" ht="24" customHeight="1" x14ac:dyDescent="0.2">
      <c r="A8" s="38" t="s">
        <v>16</v>
      </c>
      <c r="B8" s="39">
        <v>13428.723</v>
      </c>
      <c r="C8" s="40">
        <v>445270</v>
      </c>
      <c r="D8" s="40">
        <v>7518.7920000000004</v>
      </c>
      <c r="E8" s="40">
        <v>10220</v>
      </c>
      <c r="F8" s="40">
        <v>5751</v>
      </c>
      <c r="G8" s="40">
        <v>582.39800000000002</v>
      </c>
      <c r="H8" s="40">
        <v>146309.26800000001</v>
      </c>
      <c r="I8" s="40">
        <v>15915.038</v>
      </c>
      <c r="J8" s="40">
        <v>154948.535</v>
      </c>
      <c r="K8" s="40">
        <v>178131.59899999999</v>
      </c>
      <c r="L8" s="40">
        <v>61964.762999999999</v>
      </c>
      <c r="M8" s="40">
        <v>14466.563</v>
      </c>
      <c r="N8" s="40">
        <v>373239.37300000002</v>
      </c>
      <c r="O8" s="40">
        <v>51607</v>
      </c>
      <c r="P8" s="40">
        <f>35895.867+690682.598</f>
        <v>726578.46499999997</v>
      </c>
      <c r="Q8" s="41">
        <f t="shared" si="0"/>
        <v>2205931.517</v>
      </c>
    </row>
    <row r="9" spans="1:18" ht="27" customHeight="1" x14ac:dyDescent="0.2">
      <c r="A9" s="38" t="s">
        <v>17</v>
      </c>
      <c r="B9" s="40">
        <f t="shared" ref="B9:H9" si="1">B7-B8</f>
        <v>72027.55</v>
      </c>
      <c r="C9" s="40">
        <f t="shared" si="1"/>
        <v>252387</v>
      </c>
      <c r="D9" s="40">
        <f t="shared" si="1"/>
        <v>2517.9589999999998</v>
      </c>
      <c r="E9" s="40">
        <f t="shared" si="1"/>
        <v>124423.10399999999</v>
      </c>
      <c r="F9" s="40">
        <f t="shared" si="1"/>
        <v>49987</v>
      </c>
      <c r="G9" s="40">
        <f t="shared" si="1"/>
        <v>2168.3739999999998</v>
      </c>
      <c r="H9" s="40">
        <f t="shared" si="1"/>
        <v>373384.62199999997</v>
      </c>
      <c r="I9" s="40">
        <v>147856.56400000001</v>
      </c>
      <c r="J9" s="40">
        <v>129011.637</v>
      </c>
      <c r="K9" s="40">
        <f>K7-K8</f>
        <v>804991.7919999999</v>
      </c>
      <c r="L9" s="40">
        <f>L7-L8</f>
        <v>280990.30600000004</v>
      </c>
      <c r="M9" s="40">
        <v>181776.02600000001</v>
      </c>
      <c r="N9" s="40">
        <f>N7-N8</f>
        <v>285798.78899999999</v>
      </c>
      <c r="O9" s="40">
        <f>O7-O8</f>
        <v>142606</v>
      </c>
      <c r="P9" s="40">
        <f>P7-P8</f>
        <v>518743.13399999996</v>
      </c>
      <c r="Q9" s="41">
        <f t="shared" si="0"/>
        <v>3368669.8569999998</v>
      </c>
      <c r="R9" s="42"/>
    </row>
    <row r="10" spans="1:18" ht="27" customHeight="1" x14ac:dyDescent="0.2">
      <c r="A10" s="38" t="s">
        <v>43</v>
      </c>
      <c r="B10" s="39">
        <f>12982.564-35198.015</f>
        <v>-22215.451000000001</v>
      </c>
      <c r="C10" s="40">
        <f>98250-97517</f>
        <v>733</v>
      </c>
      <c r="D10" s="43">
        <f>63.715-1135.005</f>
        <v>-1071.2900000000002</v>
      </c>
      <c r="E10" s="43">
        <f>37339.541-49710.891</f>
        <v>-12371.350000000006</v>
      </c>
      <c r="F10" s="43">
        <f>15795-19995</f>
        <v>-4200</v>
      </c>
      <c r="G10" s="43">
        <v>-2108.4609999999998</v>
      </c>
      <c r="H10" s="43">
        <f>123876.816-120940.261</f>
        <v>2936.5550000000076</v>
      </c>
      <c r="I10" s="43">
        <f>55922-59302</f>
        <v>-3380</v>
      </c>
      <c r="J10" s="43">
        <v>-3734.9780000000001</v>
      </c>
      <c r="K10" s="43">
        <f>287379.582-350472.05</f>
        <v>-63092.467999999993</v>
      </c>
      <c r="L10" s="43">
        <v>-20535.553</v>
      </c>
      <c r="M10" s="43">
        <f>-72710.286+60052.834</f>
        <v>-12657.45199999999</v>
      </c>
      <c r="N10" s="40">
        <f>113908.743-107179.315</f>
        <v>6729.4279999999999</v>
      </c>
      <c r="O10" s="43">
        <f>55099-63343</f>
        <v>-8244</v>
      </c>
      <c r="P10" s="40">
        <f>216089.149-247257.425</f>
        <v>-31168.275999999983</v>
      </c>
      <c r="Q10" s="44">
        <f t="shared" si="0"/>
        <v>-174380.29599999994</v>
      </c>
      <c r="R10" s="45"/>
    </row>
    <row r="11" spans="1:18" ht="27" customHeight="1" x14ac:dyDescent="0.2">
      <c r="A11" s="38" t="s">
        <v>18</v>
      </c>
      <c r="B11" s="40">
        <f t="shared" ref="B11:I11" si="2">B9+B10</f>
        <v>49812.099000000002</v>
      </c>
      <c r="C11" s="40">
        <f t="shared" si="2"/>
        <v>253120</v>
      </c>
      <c r="D11" s="40">
        <f t="shared" si="2"/>
        <v>1446.6689999999996</v>
      </c>
      <c r="E11" s="40">
        <f t="shared" si="2"/>
        <v>112051.75399999999</v>
      </c>
      <c r="F11" s="40">
        <f t="shared" si="2"/>
        <v>45787</v>
      </c>
      <c r="G11" s="40">
        <f t="shared" si="2"/>
        <v>59.913000000000011</v>
      </c>
      <c r="H11" s="40">
        <f t="shared" si="2"/>
        <v>376321.17699999997</v>
      </c>
      <c r="I11" s="40">
        <f t="shared" si="2"/>
        <v>144476.56400000001</v>
      </c>
      <c r="J11" s="40">
        <v>132746.61499999999</v>
      </c>
      <c r="K11" s="40">
        <f t="shared" ref="K11:P11" si="3">K9+K10</f>
        <v>741899.32399999991</v>
      </c>
      <c r="L11" s="40">
        <f t="shared" si="3"/>
        <v>260454.75300000003</v>
      </c>
      <c r="M11" s="40">
        <f t="shared" si="3"/>
        <v>169118.57400000002</v>
      </c>
      <c r="N11" s="40">
        <f t="shared" si="3"/>
        <v>292528.217</v>
      </c>
      <c r="O11" s="40">
        <f t="shared" si="3"/>
        <v>134362</v>
      </c>
      <c r="P11" s="40">
        <f t="shared" si="3"/>
        <v>487574.85800000001</v>
      </c>
      <c r="Q11" s="41">
        <f t="shared" si="0"/>
        <v>3201759.517</v>
      </c>
      <c r="R11" s="46"/>
    </row>
    <row r="12" spans="1:18" ht="24" customHeight="1" x14ac:dyDescent="0.2">
      <c r="A12" s="47" t="s">
        <v>19</v>
      </c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  <c r="R12" s="46"/>
    </row>
    <row r="13" spans="1:18" ht="24" customHeight="1" x14ac:dyDescent="0.2">
      <c r="A13" s="38" t="s">
        <v>20</v>
      </c>
      <c r="B13" s="39">
        <v>62253.985000000001</v>
      </c>
      <c r="C13" s="40">
        <v>250568</v>
      </c>
      <c r="D13" s="40">
        <v>0</v>
      </c>
      <c r="E13" s="40">
        <v>55273.447999999997</v>
      </c>
      <c r="F13" s="40">
        <v>27383.342000000001</v>
      </c>
      <c r="G13" s="40">
        <v>3560.931</v>
      </c>
      <c r="H13" s="40">
        <v>237527.44099999999</v>
      </c>
      <c r="I13" s="40">
        <v>87372</v>
      </c>
      <c r="J13" s="40">
        <v>91258.899000000005</v>
      </c>
      <c r="K13" s="40">
        <v>437021.19</v>
      </c>
      <c r="L13" s="40">
        <v>149931.462</v>
      </c>
      <c r="M13" s="40">
        <v>113940.345</v>
      </c>
      <c r="N13" s="40">
        <v>470159.152</v>
      </c>
      <c r="O13" s="40">
        <v>77920.388000000006</v>
      </c>
      <c r="P13" s="40">
        <v>497001.37199999997</v>
      </c>
      <c r="Q13" s="41">
        <f t="shared" si="0"/>
        <v>2561171.9550000001</v>
      </c>
      <c r="R13" s="46"/>
    </row>
    <row r="14" spans="1:18" ht="24" customHeight="1" x14ac:dyDescent="0.2">
      <c r="A14" s="38" t="s">
        <v>16</v>
      </c>
      <c r="B14" s="39">
        <v>9627.2630000000008</v>
      </c>
      <c r="C14" s="40">
        <v>104317</v>
      </c>
      <c r="D14" s="40">
        <v>0</v>
      </c>
      <c r="E14" s="40">
        <v>7586</v>
      </c>
      <c r="F14" s="40">
        <v>2779.11</v>
      </c>
      <c r="G14" s="40">
        <v>2562.4499999999998</v>
      </c>
      <c r="H14" s="40">
        <v>37136.785000000003</v>
      </c>
      <c r="I14" s="40">
        <v>9830</v>
      </c>
      <c r="J14" s="40">
        <v>16624.392</v>
      </c>
      <c r="K14" s="40">
        <v>34557.699999999997</v>
      </c>
      <c r="L14" s="40">
        <v>31971.940999999999</v>
      </c>
      <c r="M14" s="40">
        <v>17358.437000000002</v>
      </c>
      <c r="N14" s="40">
        <v>282487.86599999998</v>
      </c>
      <c r="O14" s="40">
        <v>4493.2860000000001</v>
      </c>
      <c r="P14" s="40">
        <f>2350.411+259782.394</f>
        <v>262132.80499999999</v>
      </c>
      <c r="Q14" s="41">
        <f t="shared" si="0"/>
        <v>823465.03499999992</v>
      </c>
      <c r="R14" s="46"/>
    </row>
    <row r="15" spans="1:18" ht="27" customHeight="1" x14ac:dyDescent="0.2">
      <c r="A15" s="38" t="s">
        <v>21</v>
      </c>
      <c r="B15" s="40">
        <f t="shared" ref="B15:I15" si="4">B13-B14</f>
        <v>52626.722000000002</v>
      </c>
      <c r="C15" s="40">
        <f t="shared" si="4"/>
        <v>146251</v>
      </c>
      <c r="D15" s="40">
        <v>0</v>
      </c>
      <c r="E15" s="40">
        <f t="shared" si="4"/>
        <v>47687.447999999997</v>
      </c>
      <c r="F15" s="40">
        <f t="shared" si="4"/>
        <v>24604.232</v>
      </c>
      <c r="G15" s="40">
        <f t="shared" si="4"/>
        <v>998.48100000000022</v>
      </c>
      <c r="H15" s="40">
        <f t="shared" si="4"/>
        <v>200390.65599999999</v>
      </c>
      <c r="I15" s="40">
        <f t="shared" si="4"/>
        <v>77542</v>
      </c>
      <c r="J15" s="40">
        <v>74634.506999999998</v>
      </c>
      <c r="K15" s="40">
        <f>K13-K14</f>
        <v>402463.49</v>
      </c>
      <c r="L15" s="40">
        <f>L13-L14</f>
        <v>117959.52100000001</v>
      </c>
      <c r="M15" s="40">
        <f>M13-M14</f>
        <v>96581.907999999996</v>
      </c>
      <c r="N15" s="40">
        <f>N13-N14</f>
        <v>187671.28600000002</v>
      </c>
      <c r="O15" s="40">
        <v>73427.101999999999</v>
      </c>
      <c r="P15" s="40">
        <f>P13-P14</f>
        <v>234868.56699999998</v>
      </c>
      <c r="Q15" s="41">
        <f t="shared" si="0"/>
        <v>1737706.9200000002</v>
      </c>
      <c r="R15" s="42"/>
    </row>
    <row r="16" spans="1:18" ht="27" customHeight="1" x14ac:dyDescent="0.2">
      <c r="A16" s="38" t="s">
        <v>44</v>
      </c>
      <c r="B16" s="43">
        <f>981.175-1008.828</f>
        <v>-27.65300000000002</v>
      </c>
      <c r="C16" s="40">
        <f>72895-71685</f>
        <v>1210</v>
      </c>
      <c r="D16" s="40">
        <v>0</v>
      </c>
      <c r="E16" s="40">
        <f>132713.429-101822.788</f>
        <v>30890.641000000003</v>
      </c>
      <c r="F16" s="40">
        <f>59775-48251</f>
        <v>11524</v>
      </c>
      <c r="G16" s="43">
        <f>-(3659.313-2695.11)</f>
        <v>-964.20299999999997</v>
      </c>
      <c r="H16" s="43">
        <f>202546.326-182892.64</f>
        <v>19653.685999999987</v>
      </c>
      <c r="I16" s="40">
        <f>61479-54043</f>
        <v>7436</v>
      </c>
      <c r="J16" s="40">
        <v>1162.5139999999999</v>
      </c>
      <c r="K16" s="40">
        <f>532768.253-263349.588</f>
        <v>269418.66500000004</v>
      </c>
      <c r="L16" s="40">
        <v>33987.258000000002</v>
      </c>
      <c r="M16" s="43">
        <f>43255.607-55229.206</f>
        <v>-11973.598999999995</v>
      </c>
      <c r="N16" s="40">
        <f>133984.034-100623.505</f>
        <v>33360.52900000001</v>
      </c>
      <c r="O16" s="40">
        <f>141251-133653</f>
        <v>7598</v>
      </c>
      <c r="P16" s="40">
        <f>168442.092-159076.399</f>
        <v>9365.6929999999993</v>
      </c>
      <c r="Q16" s="41">
        <f t="shared" si="0"/>
        <v>412641.53100000008</v>
      </c>
      <c r="R16" s="46"/>
    </row>
    <row r="17" spans="1:18" ht="27" customHeight="1" x14ac:dyDescent="0.2">
      <c r="A17" s="38" t="s">
        <v>22</v>
      </c>
      <c r="B17" s="40">
        <f t="shared" ref="B17:I17" si="5">B15+B16</f>
        <v>52599.069000000003</v>
      </c>
      <c r="C17" s="40">
        <f t="shared" si="5"/>
        <v>147461</v>
      </c>
      <c r="D17" s="40">
        <f t="shared" si="5"/>
        <v>0</v>
      </c>
      <c r="E17" s="40">
        <f t="shared" si="5"/>
        <v>78578.089000000007</v>
      </c>
      <c r="F17" s="40">
        <f t="shared" si="5"/>
        <v>36128.232000000004</v>
      </c>
      <c r="G17" s="40">
        <f t="shared" si="5"/>
        <v>34.278000000000247</v>
      </c>
      <c r="H17" s="40">
        <f t="shared" si="5"/>
        <v>220044.34199999998</v>
      </c>
      <c r="I17" s="40">
        <f t="shared" si="5"/>
        <v>84978</v>
      </c>
      <c r="J17" s="40">
        <v>75797.020999999993</v>
      </c>
      <c r="K17" s="40">
        <f t="shared" ref="K17:P17" si="6">K15+K16</f>
        <v>671882.15500000003</v>
      </c>
      <c r="L17" s="40">
        <f t="shared" si="6"/>
        <v>151946.77900000001</v>
      </c>
      <c r="M17" s="40">
        <f t="shared" si="6"/>
        <v>84608.309000000008</v>
      </c>
      <c r="N17" s="40">
        <f t="shared" si="6"/>
        <v>221031.81500000003</v>
      </c>
      <c r="O17" s="40">
        <f t="shared" si="6"/>
        <v>81025.101999999999</v>
      </c>
      <c r="P17" s="40">
        <f t="shared" si="6"/>
        <v>244234.25999999998</v>
      </c>
      <c r="Q17" s="41">
        <f t="shared" si="0"/>
        <v>2150348.4509999999</v>
      </c>
      <c r="R17" s="46"/>
    </row>
    <row r="18" spans="1:18" ht="27.75" customHeight="1" x14ac:dyDescent="0.2">
      <c r="A18" s="47" t="s">
        <v>23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  <c r="R18" s="46"/>
    </row>
    <row r="19" spans="1:18" ht="27.75" customHeight="1" x14ac:dyDescent="0.2">
      <c r="A19" s="38" t="s">
        <v>24</v>
      </c>
      <c r="B19" s="39">
        <v>9942.0229999999992</v>
      </c>
      <c r="C19" s="40">
        <v>73335</v>
      </c>
      <c r="D19" s="40">
        <v>2686.0659999999998</v>
      </c>
      <c r="E19" s="40">
        <v>1245.557</v>
      </c>
      <c r="F19" s="40">
        <v>1040.347</v>
      </c>
      <c r="G19" s="40">
        <v>8.6370000000000005</v>
      </c>
      <c r="H19" s="40">
        <v>29764.346000000001</v>
      </c>
      <c r="I19" s="40">
        <v>2858.636</v>
      </c>
      <c r="J19" s="40">
        <v>22570.098999999998</v>
      </c>
      <c r="K19" s="40">
        <v>31971.143</v>
      </c>
      <c r="L19" s="40">
        <v>11941.963</v>
      </c>
      <c r="M19" s="40">
        <v>2224.1790000000001</v>
      </c>
      <c r="N19" s="40">
        <v>49897.754000000001</v>
      </c>
      <c r="O19" s="40">
        <v>10545.768</v>
      </c>
      <c r="P19" s="40">
        <v>184802.12</v>
      </c>
      <c r="Q19" s="41">
        <f t="shared" si="0"/>
        <v>434833.63800000004</v>
      </c>
      <c r="R19" s="46"/>
    </row>
    <row r="20" spans="1:18" ht="27.75" customHeight="1" x14ac:dyDescent="0.2">
      <c r="A20" s="38" t="s">
        <v>25</v>
      </c>
      <c r="B20" s="39">
        <v>443.255</v>
      </c>
      <c r="C20" s="40">
        <v>44065</v>
      </c>
      <c r="D20" s="40">
        <v>393.41300000000001</v>
      </c>
      <c r="E20" s="40">
        <v>6940.1260000000002</v>
      </c>
      <c r="F20" s="40">
        <v>6534.5150000000003</v>
      </c>
      <c r="G20" s="40">
        <v>24.228000000000002</v>
      </c>
      <c r="H20" s="40">
        <v>49969.173000000003</v>
      </c>
      <c r="I20" s="40">
        <v>14259.463</v>
      </c>
      <c r="J20" s="40">
        <v>26458.786</v>
      </c>
      <c r="K20" s="40">
        <v>83378.013000000006</v>
      </c>
      <c r="L20" s="40">
        <v>55087.239000000001</v>
      </c>
      <c r="M20" s="40">
        <v>18520.592000000001</v>
      </c>
      <c r="N20" s="40">
        <v>34643.29</v>
      </c>
      <c r="O20" s="40">
        <v>13801.612999999999</v>
      </c>
      <c r="P20" s="40">
        <v>134773.84599999999</v>
      </c>
      <c r="Q20" s="41">
        <f t="shared" si="0"/>
        <v>489292.55200000003</v>
      </c>
      <c r="R20" s="46"/>
    </row>
    <row r="21" spans="1:18" ht="27.75" customHeight="1" x14ac:dyDescent="0.2">
      <c r="A21" s="38" t="s">
        <v>26</v>
      </c>
      <c r="B21" s="40">
        <f t="shared" ref="B21:I21" si="7">B19-B20</f>
        <v>9498.768</v>
      </c>
      <c r="C21" s="40">
        <f t="shared" si="7"/>
        <v>29270</v>
      </c>
      <c r="D21" s="40">
        <f t="shared" si="7"/>
        <v>2292.6529999999998</v>
      </c>
      <c r="E21" s="43">
        <f t="shared" si="7"/>
        <v>-5694.5690000000004</v>
      </c>
      <c r="F21" s="43">
        <f t="shared" si="7"/>
        <v>-5494.1680000000006</v>
      </c>
      <c r="G21" s="43">
        <f t="shared" si="7"/>
        <v>-15.591000000000001</v>
      </c>
      <c r="H21" s="43">
        <f t="shared" si="7"/>
        <v>-20204.827000000001</v>
      </c>
      <c r="I21" s="43">
        <f t="shared" si="7"/>
        <v>-11400.826999999999</v>
      </c>
      <c r="J21" s="43">
        <v>-3888.6869999999999</v>
      </c>
      <c r="K21" s="43">
        <f t="shared" ref="K21:P21" si="8">K19-K20</f>
        <v>-51406.87000000001</v>
      </c>
      <c r="L21" s="43">
        <f t="shared" si="8"/>
        <v>-43145.275999999998</v>
      </c>
      <c r="M21" s="43">
        <f t="shared" si="8"/>
        <v>-16296.413</v>
      </c>
      <c r="N21" s="40">
        <f t="shared" si="8"/>
        <v>15254.464</v>
      </c>
      <c r="O21" s="43">
        <f t="shared" si="8"/>
        <v>-3255.8449999999993</v>
      </c>
      <c r="P21" s="40">
        <f t="shared" si="8"/>
        <v>50028.274000000005</v>
      </c>
      <c r="Q21" s="44">
        <f>SUM(B21:P21)</f>
        <v>-54458.914000000019</v>
      </c>
      <c r="R21" s="42"/>
    </row>
    <row r="22" spans="1:18" ht="24" customHeight="1" x14ac:dyDescent="0.2">
      <c r="A22" s="47" t="s">
        <v>27</v>
      </c>
      <c r="B22" s="39">
        <v>6546.6189999999997</v>
      </c>
      <c r="C22" s="40">
        <v>115524</v>
      </c>
      <c r="D22" s="40">
        <v>9817.3719999999994</v>
      </c>
      <c r="E22" s="40">
        <v>21273.681</v>
      </c>
      <c r="F22" s="40">
        <v>11774.696</v>
      </c>
      <c r="G22" s="40">
        <v>3687.0309999999999</v>
      </c>
      <c r="H22" s="40">
        <v>120694.51</v>
      </c>
      <c r="I22" s="40">
        <v>26724.575000000001</v>
      </c>
      <c r="J22" s="40">
        <v>34448.49</v>
      </c>
      <c r="K22" s="40">
        <v>144476.533</v>
      </c>
      <c r="L22" s="40">
        <v>31076.271000000001</v>
      </c>
      <c r="M22" s="40">
        <v>53042.544999999998</v>
      </c>
      <c r="N22" s="40">
        <v>212150.96799999999</v>
      </c>
      <c r="O22" s="40">
        <v>41376.044999999998</v>
      </c>
      <c r="P22" s="40">
        <f>SUM(110065.079+1016.756+1134.475+773.803+211.442+11189.568+1455.342+2857.223+1480.303+2800+2805.135+29576.48)</f>
        <v>165365.606</v>
      </c>
      <c r="Q22" s="41">
        <f t="shared" si="0"/>
        <v>997978.94200000004</v>
      </c>
      <c r="R22" s="46"/>
    </row>
    <row r="23" spans="1:18" ht="37.5" customHeight="1" x14ac:dyDescent="0.2">
      <c r="A23" s="47" t="s">
        <v>28</v>
      </c>
      <c r="B23" s="39">
        <v>165.179</v>
      </c>
      <c r="C23" s="40">
        <f>C11-C17+C21-C22</f>
        <v>19405</v>
      </c>
      <c r="D23" s="43">
        <v>-6078.05</v>
      </c>
      <c r="E23" s="40">
        <v>6506.3990000000003</v>
      </c>
      <c r="F23" s="43">
        <f>F11-F17+F21-F22</f>
        <v>-7610.0960000000041</v>
      </c>
      <c r="G23" s="43">
        <f>G11-G17+G21-G22</f>
        <v>-3676.9870000000001</v>
      </c>
      <c r="H23" s="43">
        <v>15377.495999999999</v>
      </c>
      <c r="I23" s="43">
        <f>I11-I17+I21-I22</f>
        <v>21373.162000000015</v>
      </c>
      <c r="J23" s="40">
        <v>18612.417000000001</v>
      </c>
      <c r="K23" s="40">
        <v>-125866.234</v>
      </c>
      <c r="L23" s="40">
        <f>L11-L17+L21-L22</f>
        <v>34286.427000000018</v>
      </c>
      <c r="M23" s="40">
        <v>15171.307000000001</v>
      </c>
      <c r="N23" s="43">
        <f>N11-N17+N21-N22</f>
        <v>-125400.10200000001</v>
      </c>
      <c r="O23" s="40">
        <f>O11-O17+O21-O22</f>
        <v>8705.0080000000016</v>
      </c>
      <c r="P23" s="40">
        <v>128003.266</v>
      </c>
      <c r="Q23" s="44">
        <f t="shared" si="0"/>
        <v>-1025.80799999999</v>
      </c>
      <c r="R23" s="46"/>
    </row>
    <row r="24" spans="1:18" ht="37.5" customHeight="1" x14ac:dyDescent="0.2">
      <c r="A24" s="47" t="s">
        <v>29</v>
      </c>
      <c r="B24" s="39">
        <v>688.22400000000005</v>
      </c>
      <c r="C24" s="40">
        <v>11608</v>
      </c>
      <c r="D24" s="40">
        <v>889.38199999999995</v>
      </c>
      <c r="E24" s="40">
        <v>12812.96</v>
      </c>
      <c r="F24" s="40">
        <v>13361.367</v>
      </c>
      <c r="G24" s="40">
        <v>188.43199999999999</v>
      </c>
      <c r="H24" s="40">
        <v>67530.012000000002</v>
      </c>
      <c r="I24" s="40">
        <v>7630.8040000000001</v>
      </c>
      <c r="J24" s="40">
        <v>10910.184999999999</v>
      </c>
      <c r="K24" s="40">
        <v>444858.25799999997</v>
      </c>
      <c r="L24" s="40">
        <v>57254.514999999999</v>
      </c>
      <c r="M24" s="40">
        <v>1252.6479999999999</v>
      </c>
      <c r="N24" s="40">
        <v>191657.288</v>
      </c>
      <c r="O24" s="40">
        <v>20885.763999999999</v>
      </c>
      <c r="P24" s="40">
        <f>50780.816+13127.126+6150.863+15737.404</f>
        <v>85796.208999999988</v>
      </c>
      <c r="Q24" s="41">
        <f t="shared" si="0"/>
        <v>927324.04799999995</v>
      </c>
      <c r="R24" s="46"/>
    </row>
    <row r="25" spans="1:18" ht="63.75" customHeight="1" x14ac:dyDescent="0.2">
      <c r="A25" s="48" t="s">
        <v>30</v>
      </c>
      <c r="B25" s="49">
        <v>853.40300000000002</v>
      </c>
      <c r="C25" s="50">
        <f>C23+C24</f>
        <v>31013</v>
      </c>
      <c r="D25" s="51">
        <f>D23+D24</f>
        <v>-5188.6680000000006</v>
      </c>
      <c r="E25" s="50">
        <v>19319.359</v>
      </c>
      <c r="F25" s="50">
        <f>F23+F24</f>
        <v>5751.2709999999961</v>
      </c>
      <c r="G25" s="51">
        <f>G23+G24</f>
        <v>-3488.5550000000003</v>
      </c>
      <c r="H25" s="51">
        <f>H23+H24</f>
        <v>82907.508000000002</v>
      </c>
      <c r="I25" s="50">
        <f>SUM(I23:I24)</f>
        <v>29003.966000000015</v>
      </c>
      <c r="J25" s="50">
        <v>29522.601999999999</v>
      </c>
      <c r="K25" s="50">
        <f t="shared" ref="K25:P25" si="9">K23+K24</f>
        <v>318992.02399999998</v>
      </c>
      <c r="L25" s="50">
        <f t="shared" si="9"/>
        <v>91540.94200000001</v>
      </c>
      <c r="M25" s="50">
        <f t="shared" si="9"/>
        <v>16423.955000000002</v>
      </c>
      <c r="N25" s="50">
        <f t="shared" si="9"/>
        <v>66257.185999999987</v>
      </c>
      <c r="O25" s="50">
        <f t="shared" si="9"/>
        <v>29590.772000000001</v>
      </c>
      <c r="P25" s="50">
        <f t="shared" si="9"/>
        <v>213799.47499999998</v>
      </c>
      <c r="Q25" s="52">
        <f>SUM(B25:P25)</f>
        <v>926298.23999999987</v>
      </c>
      <c r="R25" s="46"/>
    </row>
    <row r="26" spans="1:18" ht="18.75" customHeight="1" x14ac:dyDescent="0.2">
      <c r="A26" s="53"/>
      <c r="B26" s="25"/>
      <c r="C26" s="53"/>
      <c r="D26" s="53"/>
      <c r="E26" s="54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5"/>
    </row>
    <row r="27" spans="1:18" x14ac:dyDescent="0.2">
      <c r="A27" s="154" t="s">
        <v>85</v>
      </c>
      <c r="B27" s="27"/>
      <c r="C27" s="56"/>
      <c r="D27" s="27"/>
      <c r="E27" s="27"/>
      <c r="F27" s="56"/>
      <c r="G27" s="56"/>
      <c r="H27" s="27"/>
      <c r="I27" s="56"/>
      <c r="J27" s="56"/>
      <c r="K27" s="56"/>
      <c r="L27" s="57"/>
      <c r="M27" s="57"/>
      <c r="N27" s="56"/>
      <c r="O27" s="56"/>
      <c r="P27" s="56"/>
    </row>
    <row r="28" spans="1:18" x14ac:dyDescent="0.2">
      <c r="I28" s="60"/>
      <c r="J28" s="60"/>
      <c r="K28" s="60"/>
    </row>
  </sheetData>
  <mergeCells count="2">
    <mergeCell ref="A2:Q2"/>
    <mergeCell ref="A3:Q3"/>
  </mergeCells>
  <pageMargins left="0.5" right="0.5" top="0.5" bottom="0.5" header="0.75" footer="0.25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P28"/>
  <sheetViews>
    <sheetView showGridLines="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A27" sqref="A27"/>
    </sheetView>
  </sheetViews>
  <sheetFormatPr defaultRowHeight="12.75" x14ac:dyDescent="0.2"/>
  <cols>
    <col min="1" max="1" width="28.42578125" style="1" customWidth="1"/>
    <col min="2" max="2" width="12.28515625" style="23" customWidth="1"/>
    <col min="3" max="4" width="11.28515625" style="23" customWidth="1"/>
    <col min="5" max="6" width="10.7109375" style="23" customWidth="1"/>
    <col min="7" max="7" width="13.5703125" style="23" customWidth="1"/>
    <col min="8" max="11" width="10.28515625" style="23" customWidth="1"/>
    <col min="12" max="12" width="12.28515625" style="23" bestFit="1" customWidth="1"/>
    <col min="13" max="13" width="10.28515625" style="1" customWidth="1"/>
    <col min="14" max="14" width="10.28515625" style="23" customWidth="1"/>
    <col min="15" max="15" width="12.5703125" style="21" customWidth="1"/>
    <col min="16" max="16" width="8.7109375" style="1" bestFit="1" customWidth="1"/>
    <col min="17" max="17" width="14.28515625" style="1" customWidth="1"/>
    <col min="18" max="16384" width="9.140625" style="1"/>
  </cols>
  <sheetData>
    <row r="2" spans="1:16" ht="21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16" ht="21" customHeight="1" x14ac:dyDescent="0.25">
      <c r="A3" s="179" t="s">
        <v>33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16" ht="16.5" customHeight="1" x14ac:dyDescent="0.25">
      <c r="A4" s="2"/>
      <c r="B4" s="24"/>
      <c r="C4" s="24"/>
      <c r="D4" s="24"/>
      <c r="E4" s="24"/>
      <c r="F4" s="24"/>
      <c r="G4" s="2"/>
      <c r="H4" s="24"/>
      <c r="I4" s="24"/>
      <c r="J4" s="24"/>
      <c r="K4" s="24"/>
      <c r="L4" s="24"/>
      <c r="M4" s="24"/>
      <c r="N4" s="24"/>
      <c r="O4" s="29" t="s">
        <v>37</v>
      </c>
    </row>
    <row r="5" spans="1:16" s="3" customFormat="1" ht="30" customHeight="1" x14ac:dyDescent="0.2">
      <c r="A5" s="30"/>
      <c r="B5" s="30" t="s">
        <v>34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6</v>
      </c>
      <c r="H5" s="30" t="s">
        <v>35</v>
      </c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1" t="s">
        <v>13</v>
      </c>
    </row>
    <row r="6" spans="1:16" ht="24" customHeight="1" x14ac:dyDescent="0.2">
      <c r="A6" s="62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6" ht="24" customHeight="1" x14ac:dyDescent="0.2">
      <c r="A7" s="63" t="s">
        <v>15</v>
      </c>
      <c r="B7" s="6">
        <v>640827</v>
      </c>
      <c r="C7" s="6">
        <v>28214.696</v>
      </c>
      <c r="D7" s="6">
        <v>162361.1</v>
      </c>
      <c r="E7" s="6">
        <v>105946.001</v>
      </c>
      <c r="F7" s="6">
        <v>44956</v>
      </c>
      <c r="G7" s="6">
        <v>154298.38</v>
      </c>
      <c r="H7" s="6">
        <v>552936</v>
      </c>
      <c r="I7" s="6">
        <v>635496.05700000003</v>
      </c>
      <c r="J7" s="6">
        <v>772860</v>
      </c>
      <c r="K7" s="6">
        <v>283590</v>
      </c>
      <c r="L7" s="6">
        <v>587017.92200000002</v>
      </c>
      <c r="M7" s="6">
        <v>176796</v>
      </c>
      <c r="N7" s="6">
        <v>1090037.5819999999</v>
      </c>
      <c r="O7" s="7">
        <f>SUM(B7:N7)</f>
        <v>5235336.7379999999</v>
      </c>
    </row>
    <row r="8" spans="1:16" ht="24" customHeight="1" x14ac:dyDescent="0.2">
      <c r="A8" s="63" t="s">
        <v>16</v>
      </c>
      <c r="B8" s="6">
        <v>417529</v>
      </c>
      <c r="C8" s="6">
        <v>2129.3159999999998</v>
      </c>
      <c r="D8" s="6">
        <v>12229</v>
      </c>
      <c r="E8" s="6">
        <v>12865.414000000001</v>
      </c>
      <c r="F8" s="6">
        <v>5470</v>
      </c>
      <c r="G8" s="6">
        <v>15020.066999999999</v>
      </c>
      <c r="H8" s="6">
        <v>148509</v>
      </c>
      <c r="I8" s="6">
        <v>330739.73</v>
      </c>
      <c r="J8" s="6">
        <v>129872</v>
      </c>
      <c r="K8" s="6">
        <v>43296</v>
      </c>
      <c r="L8" s="6">
        <v>290076.06099999999</v>
      </c>
      <c r="M8" s="6">
        <v>49902.7</v>
      </c>
      <c r="N8" s="6">
        <v>633089.76</v>
      </c>
      <c r="O8" s="7">
        <f>SUM(B8:N8)</f>
        <v>2090728.048</v>
      </c>
    </row>
    <row r="9" spans="1:16" ht="27" customHeight="1" x14ac:dyDescent="0.2">
      <c r="A9" s="63" t="s">
        <v>17</v>
      </c>
      <c r="B9" s="6">
        <v>223298</v>
      </c>
      <c r="C9" s="6">
        <f>C7-C8</f>
        <v>26085.38</v>
      </c>
      <c r="D9" s="6">
        <f>D7-D8</f>
        <v>150132.1</v>
      </c>
      <c r="E9" s="6">
        <v>93080.587</v>
      </c>
      <c r="F9" s="6">
        <v>39486</v>
      </c>
      <c r="G9" s="6">
        <f>G7-G8</f>
        <v>139278.31299999999</v>
      </c>
      <c r="H9" s="6">
        <f>H7-H8</f>
        <v>404427</v>
      </c>
      <c r="I9" s="6">
        <f>I7-I8</f>
        <v>304756.32700000005</v>
      </c>
      <c r="J9" s="6">
        <f>642989</f>
        <v>642989</v>
      </c>
      <c r="K9" s="6">
        <v>240294</v>
      </c>
      <c r="L9" s="6">
        <v>296941.86099999998</v>
      </c>
      <c r="M9" s="6">
        <f>M7-M8</f>
        <v>126893.3</v>
      </c>
      <c r="N9" s="6">
        <v>456947.82199999999</v>
      </c>
      <c r="O9" s="7">
        <f>SUM(B9:N9)</f>
        <v>3144609.69</v>
      </c>
      <c r="P9" s="8"/>
    </row>
    <row r="10" spans="1:16" ht="27" customHeight="1" x14ac:dyDescent="0.2">
      <c r="A10" s="64" t="s">
        <v>31</v>
      </c>
      <c r="B10" s="9">
        <f>-98250+76495</f>
        <v>-21755</v>
      </c>
      <c r="C10" s="9">
        <f>-(12982.564-5375.972)</f>
        <v>-7606.5920000000006</v>
      </c>
      <c r="D10" s="9">
        <f>-(60052834-46279286)/1000</f>
        <v>-13773.548000000001</v>
      </c>
      <c r="E10" s="9">
        <f>28708.091-37339.541</f>
        <v>-8631.4499999999971</v>
      </c>
      <c r="F10" s="9">
        <v>-2442</v>
      </c>
      <c r="G10" s="9">
        <f>-(55922.766-49748.539)</f>
        <v>-6174.2270000000062</v>
      </c>
      <c r="H10" s="9">
        <f>(120090125-123876816)/1000</f>
        <v>-3786.6909999999998</v>
      </c>
      <c r="I10" s="9">
        <f>-(112878.738-94463.224)</f>
        <v>-18415.513999999996</v>
      </c>
      <c r="J10" s="9">
        <f>(243812655-287379582)/1000</f>
        <v>-43566.927000000003</v>
      </c>
      <c r="K10" s="9">
        <v>-21873</v>
      </c>
      <c r="L10" s="9">
        <v>-13922.558000000001</v>
      </c>
      <c r="M10" s="9">
        <f>-(55099667-48739068)/1000</f>
        <v>-6360.5990000000002</v>
      </c>
      <c r="N10" s="9">
        <f>-(216089.149-192270.724)</f>
        <v>-23818.425000000017</v>
      </c>
      <c r="O10" s="10">
        <f>SUM(B10:N10)</f>
        <v>-192126.53099999999</v>
      </c>
      <c r="P10" s="11"/>
    </row>
    <row r="11" spans="1:16" ht="27" customHeight="1" x14ac:dyDescent="0.2">
      <c r="A11" s="65" t="s">
        <v>18</v>
      </c>
      <c r="B11" s="12">
        <f t="shared" ref="B11:L11" si="0">B9+B10</f>
        <v>201543</v>
      </c>
      <c r="C11" s="12">
        <f t="shared" si="0"/>
        <v>18478.788</v>
      </c>
      <c r="D11" s="12">
        <f t="shared" si="0"/>
        <v>136358.552</v>
      </c>
      <c r="E11" s="12">
        <f t="shared" si="0"/>
        <v>84449.137000000002</v>
      </c>
      <c r="F11" s="12">
        <f t="shared" si="0"/>
        <v>37044</v>
      </c>
      <c r="G11" s="12">
        <f t="shared" si="0"/>
        <v>133104.08599999998</v>
      </c>
      <c r="H11" s="12">
        <f t="shared" si="0"/>
        <v>400640.30900000001</v>
      </c>
      <c r="I11" s="12">
        <f t="shared" si="0"/>
        <v>286340.81300000008</v>
      </c>
      <c r="J11" s="12">
        <f t="shared" si="0"/>
        <v>599422.07299999997</v>
      </c>
      <c r="K11" s="12">
        <f t="shared" si="0"/>
        <v>218421</v>
      </c>
      <c r="L11" s="12">
        <f t="shared" si="0"/>
        <v>283019.30299999996</v>
      </c>
      <c r="M11" s="12">
        <v>120533.2</v>
      </c>
      <c r="N11" s="12">
        <f>N9+N10</f>
        <v>433129.397</v>
      </c>
      <c r="O11" s="13">
        <f>SUM(B11:N11)</f>
        <v>2952483.6579999998</v>
      </c>
      <c r="P11" s="14"/>
    </row>
    <row r="12" spans="1:16" ht="24" customHeight="1" x14ac:dyDescent="0.2">
      <c r="A12" s="62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14"/>
    </row>
    <row r="13" spans="1:16" ht="24" customHeight="1" x14ac:dyDescent="0.2">
      <c r="A13" s="63" t="s">
        <v>20</v>
      </c>
      <c r="B13" s="6">
        <v>200942</v>
      </c>
      <c r="C13" s="6">
        <v>18904.441999999999</v>
      </c>
      <c r="D13" s="6">
        <v>95416.8</v>
      </c>
      <c r="E13" s="6">
        <v>37032.296999999999</v>
      </c>
      <c r="F13" s="6">
        <v>28196</v>
      </c>
      <c r="G13" s="6">
        <v>93786.951000000001</v>
      </c>
      <c r="H13" s="6">
        <v>262338</v>
      </c>
      <c r="I13" s="6">
        <v>234900.41</v>
      </c>
      <c r="J13" s="6">
        <v>415886</v>
      </c>
      <c r="K13" s="6">
        <v>137193</v>
      </c>
      <c r="L13" s="6">
        <v>308932.72499999998</v>
      </c>
      <c r="M13" s="6">
        <v>113941.7</v>
      </c>
      <c r="N13" s="6">
        <v>433512.19400000002</v>
      </c>
      <c r="O13" s="7">
        <f>SUM(B13:N13)</f>
        <v>2380982.5189999999</v>
      </c>
      <c r="P13" s="14"/>
    </row>
    <row r="14" spans="1:16" ht="24" customHeight="1" x14ac:dyDescent="0.2">
      <c r="A14" s="63" t="s">
        <v>16</v>
      </c>
      <c r="B14" s="6">
        <v>66022</v>
      </c>
      <c r="C14" s="6">
        <v>2220.5680000000002</v>
      </c>
      <c r="D14" s="6">
        <v>9176</v>
      </c>
      <c r="E14" s="6">
        <v>5288.4059999999999</v>
      </c>
      <c r="F14" s="6">
        <v>14218</v>
      </c>
      <c r="G14" s="6">
        <v>18098.942999999999</v>
      </c>
      <c r="H14" s="6">
        <v>32209</v>
      </c>
      <c r="I14" s="6">
        <v>83866.812000000005</v>
      </c>
      <c r="J14" s="6">
        <v>45825</v>
      </c>
      <c r="K14" s="6">
        <v>24954</v>
      </c>
      <c r="L14" s="6">
        <v>126647.372</v>
      </c>
      <c r="M14" s="6">
        <v>47902</v>
      </c>
      <c r="N14" s="6">
        <v>232249.01300000001</v>
      </c>
      <c r="O14" s="7">
        <f>SUM(B14:N14)</f>
        <v>708677.11400000006</v>
      </c>
      <c r="P14" s="14"/>
    </row>
    <row r="15" spans="1:16" ht="27" customHeight="1" x14ac:dyDescent="0.2">
      <c r="A15" s="63" t="s">
        <v>21</v>
      </c>
      <c r="B15" s="6">
        <v>134920</v>
      </c>
      <c r="C15" s="6">
        <f>C13-C14</f>
        <v>16683.874</v>
      </c>
      <c r="D15" s="6">
        <f>D13-D14</f>
        <v>86240.8</v>
      </c>
      <c r="E15" s="6">
        <v>31743.891</v>
      </c>
      <c r="F15" s="6">
        <v>13978</v>
      </c>
      <c r="G15" s="6">
        <f>G13-G14</f>
        <v>75688.008000000002</v>
      </c>
      <c r="H15" s="6">
        <f>H13-H14</f>
        <v>230129</v>
      </c>
      <c r="I15" s="6">
        <f>I13-I14</f>
        <v>151033.598</v>
      </c>
      <c r="J15" s="6">
        <v>370061</v>
      </c>
      <c r="K15" s="6">
        <v>112239</v>
      </c>
      <c r="L15" s="6">
        <v>182285.353</v>
      </c>
      <c r="M15" s="6">
        <f>M13-M14</f>
        <v>66039.7</v>
      </c>
      <c r="N15" s="6">
        <f>N13-N14</f>
        <v>201263.18100000001</v>
      </c>
      <c r="O15" s="7">
        <f>SUM(B15:N15)</f>
        <v>1672305.4050000003</v>
      </c>
      <c r="P15" s="8"/>
    </row>
    <row r="16" spans="1:16" ht="27" customHeight="1" x14ac:dyDescent="0.2">
      <c r="A16" s="66" t="s">
        <v>32</v>
      </c>
      <c r="B16" s="9">
        <f>71685-60875</f>
        <v>10810</v>
      </c>
      <c r="C16" s="9">
        <f>1008.828-186.879</f>
        <v>821.94899999999996</v>
      </c>
      <c r="D16" s="9">
        <f>(55229205-64985257)/1000</f>
        <v>-9756.0519999999997</v>
      </c>
      <c r="E16" s="9">
        <f>101822.788-77244.039</f>
        <v>24578.748999999996</v>
      </c>
      <c r="F16" s="9">
        <v>8797</v>
      </c>
      <c r="G16" s="9">
        <f>(54042.596-35844.56)</f>
        <v>18198.036</v>
      </c>
      <c r="H16" s="9">
        <f>(182892640-181976857)/1000</f>
        <v>915.78300000000002</v>
      </c>
      <c r="I16" s="9">
        <f>110597.78-93441.915</f>
        <v>17155.865000000005</v>
      </c>
      <c r="J16" s="9">
        <f>(263349588-235353616)/1000</f>
        <v>27995.972000000002</v>
      </c>
      <c r="K16" s="9">
        <v>29855</v>
      </c>
      <c r="L16" s="9">
        <v>32096.665000000001</v>
      </c>
      <c r="M16" s="9">
        <f>(133653344-106792800)/1000</f>
        <v>26860.544000000002</v>
      </c>
      <c r="N16" s="9">
        <f>(159076.399-147163.214)</f>
        <v>11913.184999999998</v>
      </c>
      <c r="O16" s="10">
        <f>SUM(B16:N16)</f>
        <v>200242.696</v>
      </c>
      <c r="P16" s="14"/>
    </row>
    <row r="17" spans="1:16" ht="27" customHeight="1" x14ac:dyDescent="0.2">
      <c r="A17" s="65" t="s">
        <v>22</v>
      </c>
      <c r="B17" s="12">
        <f t="shared" ref="B17:L17" si="1">B15+B16</f>
        <v>145730</v>
      </c>
      <c r="C17" s="12">
        <f t="shared" si="1"/>
        <v>17505.823</v>
      </c>
      <c r="D17" s="12">
        <f t="shared" si="1"/>
        <v>76484.748000000007</v>
      </c>
      <c r="E17" s="12">
        <f t="shared" si="1"/>
        <v>56322.64</v>
      </c>
      <c r="F17" s="12">
        <f t="shared" si="1"/>
        <v>22775</v>
      </c>
      <c r="G17" s="12">
        <f t="shared" si="1"/>
        <v>93886.043999999994</v>
      </c>
      <c r="H17" s="12">
        <f t="shared" si="1"/>
        <v>231044.783</v>
      </c>
      <c r="I17" s="12">
        <f t="shared" si="1"/>
        <v>168189.46299999999</v>
      </c>
      <c r="J17" s="12">
        <f t="shared" si="1"/>
        <v>398056.97200000001</v>
      </c>
      <c r="K17" s="12">
        <f t="shared" si="1"/>
        <v>142094</v>
      </c>
      <c r="L17" s="12">
        <f t="shared" si="1"/>
        <v>214382.01800000001</v>
      </c>
      <c r="M17" s="12">
        <v>92900.1</v>
      </c>
      <c r="N17" s="12">
        <f>N15+N16</f>
        <v>213176.36600000001</v>
      </c>
      <c r="O17" s="13">
        <f>SUM(B17:N17)</f>
        <v>1872547.9569999999</v>
      </c>
      <c r="P17" s="14"/>
    </row>
    <row r="18" spans="1:16" ht="27.75" customHeight="1" x14ac:dyDescent="0.2">
      <c r="A18" s="62" t="s">
        <v>23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14"/>
    </row>
    <row r="19" spans="1:16" ht="27.75" customHeight="1" x14ac:dyDescent="0.2">
      <c r="A19" s="63" t="s">
        <v>24</v>
      </c>
      <c r="B19" s="6">
        <v>69406</v>
      </c>
      <c r="C19" s="6">
        <v>1435.82</v>
      </c>
      <c r="D19" s="6">
        <v>1628</v>
      </c>
      <c r="E19" s="6">
        <v>1295.528</v>
      </c>
      <c r="F19" s="6">
        <v>1023</v>
      </c>
      <c r="G19" s="6">
        <v>3423.5790000000002</v>
      </c>
      <c r="H19" s="6">
        <v>31288</v>
      </c>
      <c r="I19" s="6">
        <v>50442.879999999997</v>
      </c>
      <c r="J19" s="6">
        <f>25264404/1000</f>
        <v>25264.403999999999</v>
      </c>
      <c r="K19" s="6">
        <v>8636</v>
      </c>
      <c r="L19" s="6">
        <v>41645.620000000003</v>
      </c>
      <c r="M19" s="6">
        <v>10210.4</v>
      </c>
      <c r="N19" s="6">
        <v>144618.01199999999</v>
      </c>
      <c r="O19" s="7">
        <f t="shared" ref="O19:O25" si="2">SUM(B19:N19)</f>
        <v>390317.24300000002</v>
      </c>
      <c r="P19" s="14"/>
    </row>
    <row r="20" spans="1:16" ht="27.75" customHeight="1" x14ac:dyDescent="0.2">
      <c r="A20" s="66" t="s">
        <v>25</v>
      </c>
      <c r="B20" s="9">
        <v>40429</v>
      </c>
      <c r="C20" s="9">
        <v>293.37700000000001</v>
      </c>
      <c r="D20" s="9">
        <v>15851.3</v>
      </c>
      <c r="E20" s="9">
        <v>5632.0029999999997</v>
      </c>
      <c r="F20" s="9">
        <v>5344</v>
      </c>
      <c r="G20" s="9">
        <v>14657.121999999999</v>
      </c>
      <c r="H20" s="9">
        <v>50721</v>
      </c>
      <c r="I20" s="9">
        <v>57196.033000000003</v>
      </c>
      <c r="J20" s="9">
        <f>67142578/1000</f>
        <v>67142.577999999994</v>
      </c>
      <c r="K20" s="9">
        <v>44592</v>
      </c>
      <c r="L20" s="9">
        <v>34965.411999999997</v>
      </c>
      <c r="M20" s="9">
        <v>10675.4</v>
      </c>
      <c r="N20" s="9">
        <v>115176.906</v>
      </c>
      <c r="O20" s="10">
        <f t="shared" si="2"/>
        <v>462676.13100000005</v>
      </c>
      <c r="P20" s="14"/>
    </row>
    <row r="21" spans="1:16" ht="27.75" customHeight="1" x14ac:dyDescent="0.2">
      <c r="A21" s="65" t="s">
        <v>26</v>
      </c>
      <c r="B21" s="12">
        <f>B19-B20</f>
        <v>28977</v>
      </c>
      <c r="C21" s="12">
        <f>C19-C20</f>
        <v>1142.443</v>
      </c>
      <c r="D21" s="12">
        <f>D19-D20</f>
        <v>-14223.3</v>
      </c>
      <c r="E21" s="12">
        <v>-4336.4750000000004</v>
      </c>
      <c r="F21" s="12">
        <f t="shared" ref="F21:N21" si="3">F19-F20</f>
        <v>-4321</v>
      </c>
      <c r="G21" s="12">
        <f t="shared" si="3"/>
        <v>-11233.543</v>
      </c>
      <c r="H21" s="12">
        <f t="shared" si="3"/>
        <v>-19433</v>
      </c>
      <c r="I21" s="12">
        <f t="shared" si="3"/>
        <v>-6753.1530000000057</v>
      </c>
      <c r="J21" s="12">
        <f t="shared" si="3"/>
        <v>-41878.173999999999</v>
      </c>
      <c r="K21" s="12">
        <f t="shared" si="3"/>
        <v>-35956</v>
      </c>
      <c r="L21" s="12">
        <f t="shared" si="3"/>
        <v>6680.208000000006</v>
      </c>
      <c r="M21" s="12">
        <f t="shared" si="3"/>
        <v>-465</v>
      </c>
      <c r="N21" s="12">
        <f t="shared" si="3"/>
        <v>29441.105999999985</v>
      </c>
      <c r="O21" s="13">
        <f t="shared" si="2"/>
        <v>-72358.888000000021</v>
      </c>
      <c r="P21" s="8"/>
    </row>
    <row r="22" spans="1:16" ht="24" customHeight="1" x14ac:dyDescent="0.2">
      <c r="A22" s="67" t="s">
        <v>27</v>
      </c>
      <c r="B22" s="15">
        <v>85976</v>
      </c>
      <c r="C22" s="15">
        <v>6799.1139999999996</v>
      </c>
      <c r="D22" s="15">
        <v>36034.699999999997</v>
      </c>
      <c r="E22" s="15">
        <v>17716.738000000001</v>
      </c>
      <c r="F22" s="15">
        <v>10314</v>
      </c>
      <c r="G22" s="15">
        <v>24268.758000000002</v>
      </c>
      <c r="H22" s="15">
        <v>123564</v>
      </c>
      <c r="I22" s="15">
        <v>65299.406000000003</v>
      </c>
      <c r="J22" s="15">
        <f>111466418/1000</f>
        <v>111466.41800000001</v>
      </c>
      <c r="K22" s="15">
        <v>20756</v>
      </c>
      <c r="L22" s="15">
        <v>192101.875</v>
      </c>
      <c r="M22" s="15">
        <v>26280.6</v>
      </c>
      <c r="N22" s="15">
        <v>148399.85</v>
      </c>
      <c r="O22" s="16">
        <f t="shared" si="2"/>
        <v>868977.45900000003</v>
      </c>
      <c r="P22" s="14"/>
    </row>
    <row r="23" spans="1:16" ht="37.5" customHeight="1" x14ac:dyDescent="0.2">
      <c r="A23" s="68" t="s">
        <v>28</v>
      </c>
      <c r="B23" s="12">
        <f t="shared" ref="B23:G23" si="4">B11-B17+B19-B20-B22</f>
        <v>-1186</v>
      </c>
      <c r="C23" s="12">
        <f t="shared" si="4"/>
        <v>-4683.7060000000001</v>
      </c>
      <c r="D23" s="12">
        <f t="shared" si="4"/>
        <v>9615.8039999999892</v>
      </c>
      <c r="E23" s="12">
        <f t="shared" si="4"/>
        <v>6073.2839999999997</v>
      </c>
      <c r="F23" s="12">
        <f t="shared" si="4"/>
        <v>-366</v>
      </c>
      <c r="G23" s="12">
        <f t="shared" si="4"/>
        <v>3715.7409999999836</v>
      </c>
      <c r="H23" s="12">
        <v>26597</v>
      </c>
      <c r="I23" s="12">
        <f>I11-I17+I19-I20-I22</f>
        <v>46098.791000000099</v>
      </c>
      <c r="J23" s="12">
        <f>J11-J17+J19-J20-J22</f>
        <v>48020.508999999962</v>
      </c>
      <c r="K23" s="12">
        <f>K11-K17+K19-K20-K22</f>
        <v>19615</v>
      </c>
      <c r="L23" s="12">
        <f>L11-L17+L19-L20-L22</f>
        <v>-116784.38200000006</v>
      </c>
      <c r="M23" s="12">
        <v>887.48</v>
      </c>
      <c r="N23" s="12">
        <f>N11-N17+N19-N20-N22</f>
        <v>100994.28699999992</v>
      </c>
      <c r="O23" s="13">
        <f t="shared" si="2"/>
        <v>138597.8079999999</v>
      </c>
      <c r="P23" s="14"/>
    </row>
    <row r="24" spans="1:16" ht="37.5" customHeight="1" x14ac:dyDescent="0.2">
      <c r="A24" s="67" t="s">
        <v>29</v>
      </c>
      <c r="B24" s="15">
        <v>6707</v>
      </c>
      <c r="C24" s="15">
        <v>335.44499999999999</v>
      </c>
      <c r="D24" s="15">
        <v>1089.2</v>
      </c>
      <c r="E24" s="15">
        <v>11753.34</v>
      </c>
      <c r="F24" s="15">
        <v>12960</v>
      </c>
      <c r="G24" s="15">
        <v>6358.3339999999998</v>
      </c>
      <c r="H24" s="15">
        <v>41391</v>
      </c>
      <c r="I24" s="15">
        <v>13292.046</v>
      </c>
      <c r="J24" s="15">
        <f>279935548/1000</f>
        <v>279935.54800000001</v>
      </c>
      <c r="K24" s="15">
        <v>51970</v>
      </c>
      <c r="L24" s="15">
        <v>189420.26</v>
      </c>
      <c r="M24" s="15">
        <v>22726.400000000001</v>
      </c>
      <c r="N24" s="15">
        <v>79625.614000000001</v>
      </c>
      <c r="O24" s="16">
        <f t="shared" si="2"/>
        <v>717564.18699999992</v>
      </c>
      <c r="P24" s="14"/>
    </row>
    <row r="25" spans="1:16" ht="45" customHeight="1" thickBot="1" x14ac:dyDescent="0.25">
      <c r="A25" s="69" t="s">
        <v>30</v>
      </c>
      <c r="B25" s="17">
        <f t="shared" ref="B25:G25" si="5">B23+B24</f>
        <v>5521</v>
      </c>
      <c r="C25" s="17">
        <f t="shared" si="5"/>
        <v>-4348.2610000000004</v>
      </c>
      <c r="D25" s="17">
        <f t="shared" si="5"/>
        <v>10705.00399999999</v>
      </c>
      <c r="E25" s="17">
        <f t="shared" si="5"/>
        <v>17826.624</v>
      </c>
      <c r="F25" s="17">
        <f t="shared" si="5"/>
        <v>12594</v>
      </c>
      <c r="G25" s="17">
        <f t="shared" si="5"/>
        <v>10074.074999999983</v>
      </c>
      <c r="H25" s="17">
        <v>67988</v>
      </c>
      <c r="I25" s="17">
        <f>I23+I24</f>
        <v>59390.837000000101</v>
      </c>
      <c r="J25" s="17">
        <f>J23+J24</f>
        <v>327956.05699999997</v>
      </c>
      <c r="K25" s="17">
        <f>K23+K24</f>
        <v>71585</v>
      </c>
      <c r="L25" s="17">
        <f>L23+L24</f>
        <v>72635.877999999953</v>
      </c>
      <c r="M25" s="17">
        <v>23613.9</v>
      </c>
      <c r="N25" s="17">
        <f>N23+N24</f>
        <v>180619.90099999993</v>
      </c>
      <c r="O25" s="18">
        <f t="shared" si="2"/>
        <v>856162.01500000001</v>
      </c>
      <c r="P25" s="14"/>
    </row>
    <row r="27" spans="1:16" x14ac:dyDescent="0.2">
      <c r="A27" s="154" t="s">
        <v>85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0"/>
      <c r="M27" s="20"/>
      <c r="N27" s="19"/>
    </row>
    <row r="28" spans="1:16" x14ac:dyDescent="0.2">
      <c r="B28" s="24"/>
      <c r="C28" s="24"/>
      <c r="D28" s="24"/>
      <c r="E28" s="24"/>
      <c r="F28" s="24"/>
      <c r="G28" s="22"/>
      <c r="H28" s="24"/>
      <c r="I28" s="24"/>
      <c r="J28" s="24"/>
      <c r="K28" s="24"/>
      <c r="L28" s="24"/>
      <c r="M28" s="24"/>
      <c r="N28" s="24"/>
    </row>
  </sheetData>
  <mergeCells count="2">
    <mergeCell ref="A2:O2"/>
    <mergeCell ref="A3:O3"/>
  </mergeCells>
  <phoneticPr fontId="1" type="noConversion"/>
  <pageMargins left="0.75" right="0.75" top="1" bottom="1" header="0.5" footer="0.5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R28"/>
  <sheetViews>
    <sheetView showGridLines="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A27" sqref="A27"/>
    </sheetView>
  </sheetViews>
  <sheetFormatPr defaultRowHeight="12.75" x14ac:dyDescent="0.2"/>
  <cols>
    <col min="1" max="1" width="28.42578125" style="1" customWidth="1"/>
    <col min="2" max="2" width="12.28515625" style="23" customWidth="1"/>
    <col min="3" max="4" width="11.28515625" style="23" customWidth="1"/>
    <col min="5" max="8" width="10.7109375" style="23" customWidth="1"/>
    <col min="9" max="9" width="13.5703125" style="23" customWidth="1"/>
    <col min="10" max="14" width="10.28515625" style="23" customWidth="1"/>
    <col min="15" max="15" width="10.28515625" style="1" customWidth="1"/>
    <col min="16" max="16" width="10.28515625" style="23" customWidth="1"/>
    <col min="17" max="17" width="12.5703125" style="71" customWidth="1"/>
    <col min="18" max="18" width="8.7109375" style="1" bestFit="1" customWidth="1"/>
    <col min="19" max="19" width="9.140625" style="1"/>
    <col min="20" max="20" width="11.28515625" style="1" bestFit="1" customWidth="1"/>
    <col min="21" max="16384" width="9.140625" style="1"/>
  </cols>
  <sheetData>
    <row r="2" spans="1:18" ht="16.5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8" ht="16.5" customHeight="1" x14ac:dyDescent="0.25">
      <c r="A3" s="179" t="s">
        <v>79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" t="s">
        <v>80</v>
      </c>
    </row>
    <row r="4" spans="1:18" ht="16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9" t="s">
        <v>37</v>
      </c>
    </row>
    <row r="5" spans="1:18" s="3" customFormat="1" ht="30" customHeight="1" x14ac:dyDescent="0.2">
      <c r="A5" s="30"/>
      <c r="B5" s="30" t="s">
        <v>81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82</v>
      </c>
      <c r="H5" s="30" t="s">
        <v>5</v>
      </c>
      <c r="I5" s="30" t="s">
        <v>6</v>
      </c>
      <c r="J5" s="30" t="s">
        <v>83</v>
      </c>
      <c r="K5" s="30" t="s">
        <v>7</v>
      </c>
      <c r="L5" s="30" t="s">
        <v>8</v>
      </c>
      <c r="M5" s="30" t="s">
        <v>9</v>
      </c>
      <c r="N5" s="30" t="s">
        <v>10</v>
      </c>
      <c r="O5" s="30" t="s">
        <v>11</v>
      </c>
      <c r="P5" s="30" t="s">
        <v>12</v>
      </c>
      <c r="Q5" s="157" t="s">
        <v>13</v>
      </c>
    </row>
    <row r="6" spans="1:18" ht="24" customHeight="1" x14ac:dyDescent="0.2">
      <c r="A6" s="62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58"/>
    </row>
    <row r="7" spans="1:18" ht="24" customHeight="1" x14ac:dyDescent="0.2">
      <c r="A7" s="159" t="s">
        <v>15</v>
      </c>
      <c r="B7" s="160">
        <v>834355</v>
      </c>
      <c r="C7" s="160">
        <v>13993</v>
      </c>
      <c r="D7" s="160">
        <v>125495</v>
      </c>
      <c r="E7" s="160">
        <v>77696</v>
      </c>
      <c r="F7" s="160">
        <v>38917</v>
      </c>
      <c r="G7" s="160">
        <v>74208</v>
      </c>
      <c r="H7" s="160">
        <v>0</v>
      </c>
      <c r="I7" s="160">
        <v>136914</v>
      </c>
      <c r="J7" s="160">
        <v>451557</v>
      </c>
      <c r="K7" s="160">
        <v>611341</v>
      </c>
      <c r="L7" s="160">
        <v>617954</v>
      </c>
      <c r="M7" s="160">
        <v>245075</v>
      </c>
      <c r="N7" s="160">
        <v>394197</v>
      </c>
      <c r="O7" s="160">
        <v>159160</v>
      </c>
      <c r="P7" s="160">
        <v>954607</v>
      </c>
      <c r="Q7" s="161">
        <f>SUM(B7:P7)</f>
        <v>4735469</v>
      </c>
    </row>
    <row r="8" spans="1:18" ht="24" customHeight="1" x14ac:dyDescent="0.2">
      <c r="A8" s="159" t="s">
        <v>16</v>
      </c>
      <c r="B8" s="160">
        <v>581868</v>
      </c>
      <c r="C8" s="160">
        <v>600</v>
      </c>
      <c r="D8" s="160">
        <v>9797</v>
      </c>
      <c r="E8" s="160">
        <v>8419</v>
      </c>
      <c r="F8" s="160">
        <v>5536</v>
      </c>
      <c r="G8" s="160">
        <v>28007</v>
      </c>
      <c r="H8" s="160">
        <v>0</v>
      </c>
      <c r="I8" s="160">
        <v>13035</v>
      </c>
      <c r="J8" s="160">
        <v>116243</v>
      </c>
      <c r="K8" s="160">
        <v>355126</v>
      </c>
      <c r="L8" s="160">
        <v>96617</v>
      </c>
      <c r="M8" s="160">
        <v>48852</v>
      </c>
      <c r="N8" s="160">
        <v>147500</v>
      </c>
      <c r="O8" s="160">
        <v>47124</v>
      </c>
      <c r="P8" s="160">
        <v>540247</v>
      </c>
      <c r="Q8" s="161">
        <f>SUM(B8:P8)</f>
        <v>1998971</v>
      </c>
    </row>
    <row r="9" spans="1:18" ht="27" customHeight="1" x14ac:dyDescent="0.2">
      <c r="A9" s="159" t="s">
        <v>17</v>
      </c>
      <c r="B9" s="160">
        <f t="shared" ref="B9:P9" si="0">B7-B8</f>
        <v>252487</v>
      </c>
      <c r="C9" s="160">
        <f t="shared" si="0"/>
        <v>13393</v>
      </c>
      <c r="D9" s="160">
        <f t="shared" si="0"/>
        <v>115698</v>
      </c>
      <c r="E9" s="160">
        <f t="shared" si="0"/>
        <v>69277</v>
      </c>
      <c r="F9" s="160">
        <f t="shared" si="0"/>
        <v>33381</v>
      </c>
      <c r="G9" s="160">
        <f t="shared" si="0"/>
        <v>46201</v>
      </c>
      <c r="H9" s="160">
        <f t="shared" si="0"/>
        <v>0</v>
      </c>
      <c r="I9" s="160">
        <f t="shared" si="0"/>
        <v>123879</v>
      </c>
      <c r="J9" s="160">
        <f t="shared" si="0"/>
        <v>335314</v>
      </c>
      <c r="K9" s="160">
        <f t="shared" si="0"/>
        <v>256215</v>
      </c>
      <c r="L9" s="160">
        <f t="shared" si="0"/>
        <v>521337</v>
      </c>
      <c r="M9" s="160">
        <f t="shared" si="0"/>
        <v>196223</v>
      </c>
      <c r="N9" s="160">
        <f t="shared" si="0"/>
        <v>246697</v>
      </c>
      <c r="O9" s="160">
        <f t="shared" si="0"/>
        <v>112036</v>
      </c>
      <c r="P9" s="160">
        <f t="shared" si="0"/>
        <v>414360</v>
      </c>
      <c r="Q9" s="161">
        <f>SUM(B9:P9)</f>
        <v>2736498</v>
      </c>
      <c r="R9" s="162"/>
    </row>
    <row r="10" spans="1:18" ht="27" customHeight="1" x14ac:dyDescent="0.2">
      <c r="A10" s="163" t="s">
        <v>31</v>
      </c>
      <c r="B10" s="164">
        <f>55419-76495</f>
        <v>-21076</v>
      </c>
      <c r="C10" s="164">
        <f>942-5375</f>
        <v>-4433</v>
      </c>
      <c r="D10" s="164">
        <f>40126-44879</f>
        <v>-4753</v>
      </c>
      <c r="E10" s="164">
        <f>21437-28708</f>
        <v>-7271</v>
      </c>
      <c r="F10" s="164">
        <f>10122-13353</f>
        <v>-3231</v>
      </c>
      <c r="G10" s="164">
        <f>14666-831</f>
        <v>13835</v>
      </c>
      <c r="H10" s="164">
        <v>0</v>
      </c>
      <c r="I10" s="164">
        <f>46699-49749</f>
        <v>-3050</v>
      </c>
      <c r="J10" s="164">
        <f>91693-119259</f>
        <v>-27566</v>
      </c>
      <c r="K10" s="164">
        <f>65750-94463</f>
        <v>-28713</v>
      </c>
      <c r="L10" s="164">
        <f>207980-243813</f>
        <v>-35833</v>
      </c>
      <c r="M10" s="164">
        <f>68026-99621</f>
        <v>-31595</v>
      </c>
      <c r="N10" s="164">
        <f>67417-99986</f>
        <v>-32569</v>
      </c>
      <c r="O10" s="164">
        <f>41635-48739</f>
        <v>-7104</v>
      </c>
      <c r="P10" s="164">
        <f>178892-192271</f>
        <v>-13379</v>
      </c>
      <c r="Q10" s="165">
        <f>SUM(B10:P10)</f>
        <v>-206738</v>
      </c>
      <c r="R10" s="11"/>
    </row>
    <row r="11" spans="1:18" ht="27" customHeight="1" x14ac:dyDescent="0.2">
      <c r="A11" s="65" t="s">
        <v>18</v>
      </c>
      <c r="B11" s="12">
        <f t="shared" ref="B11:P11" si="1">B9+B10</f>
        <v>231411</v>
      </c>
      <c r="C11" s="12">
        <f t="shared" si="1"/>
        <v>8960</v>
      </c>
      <c r="D11" s="12">
        <f t="shared" si="1"/>
        <v>110945</v>
      </c>
      <c r="E11" s="12">
        <f t="shared" si="1"/>
        <v>62006</v>
      </c>
      <c r="F11" s="12">
        <f t="shared" si="1"/>
        <v>30150</v>
      </c>
      <c r="G11" s="12">
        <f t="shared" si="1"/>
        <v>60036</v>
      </c>
      <c r="H11" s="12">
        <f t="shared" si="1"/>
        <v>0</v>
      </c>
      <c r="I11" s="12">
        <f t="shared" si="1"/>
        <v>120829</v>
      </c>
      <c r="J11" s="12">
        <f t="shared" si="1"/>
        <v>307748</v>
      </c>
      <c r="K11" s="12">
        <f t="shared" si="1"/>
        <v>227502</v>
      </c>
      <c r="L11" s="12">
        <f t="shared" si="1"/>
        <v>485504</v>
      </c>
      <c r="M11" s="12">
        <f t="shared" si="1"/>
        <v>164628</v>
      </c>
      <c r="N11" s="12">
        <f t="shared" si="1"/>
        <v>214128</v>
      </c>
      <c r="O11" s="12">
        <f t="shared" si="1"/>
        <v>104932</v>
      </c>
      <c r="P11" s="12">
        <f t="shared" si="1"/>
        <v>400981</v>
      </c>
      <c r="Q11" s="166">
        <f>SUM(B11:P11)</f>
        <v>2529760</v>
      </c>
      <c r="R11" s="14"/>
    </row>
    <row r="12" spans="1:18" ht="24" customHeight="1" x14ac:dyDescent="0.2">
      <c r="A12" s="62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58"/>
      <c r="R12" s="14"/>
    </row>
    <row r="13" spans="1:18" ht="24" customHeight="1" x14ac:dyDescent="0.2">
      <c r="A13" s="159" t="s">
        <v>20</v>
      </c>
      <c r="B13" s="160">
        <v>301768</v>
      </c>
      <c r="C13" s="160">
        <v>9410</v>
      </c>
      <c r="D13" s="160">
        <v>78646</v>
      </c>
      <c r="E13" s="160">
        <v>32561</v>
      </c>
      <c r="F13" s="160">
        <v>17691</v>
      </c>
      <c r="G13" s="160">
        <v>72263</v>
      </c>
      <c r="H13" s="160">
        <v>48688</v>
      </c>
      <c r="I13" s="160">
        <v>88820</v>
      </c>
      <c r="J13" s="160">
        <v>212812</v>
      </c>
      <c r="K13" s="160">
        <v>211272</v>
      </c>
      <c r="L13" s="160">
        <v>320496</v>
      </c>
      <c r="M13" s="160">
        <v>111792</v>
      </c>
      <c r="N13" s="160">
        <v>238858</v>
      </c>
      <c r="O13" s="160">
        <v>78761</v>
      </c>
      <c r="P13" s="160">
        <v>527151</v>
      </c>
      <c r="Q13" s="161">
        <f>SUM(B13:P13)</f>
        <v>2350989</v>
      </c>
      <c r="R13" s="14"/>
    </row>
    <row r="14" spans="1:18" ht="24" customHeight="1" x14ac:dyDescent="0.2">
      <c r="A14" s="159" t="s">
        <v>16</v>
      </c>
      <c r="B14" s="160">
        <v>126142</v>
      </c>
      <c r="C14" s="160">
        <v>0</v>
      </c>
      <c r="D14" s="160">
        <v>5125</v>
      </c>
      <c r="E14" s="160">
        <v>7087</v>
      </c>
      <c r="F14" s="160">
        <v>4784</v>
      </c>
      <c r="G14" s="160">
        <v>16696</v>
      </c>
      <c r="H14" s="160">
        <v>47789</v>
      </c>
      <c r="I14" s="160">
        <v>9499</v>
      </c>
      <c r="J14" s="160">
        <v>19873</v>
      </c>
      <c r="K14" s="160">
        <v>83277</v>
      </c>
      <c r="L14" s="160">
        <v>30901</v>
      </c>
      <c r="M14" s="160">
        <v>22043</v>
      </c>
      <c r="N14" s="160">
        <v>57061</v>
      </c>
      <c r="O14" s="160">
        <v>10240</v>
      </c>
      <c r="P14" s="160">
        <v>317049</v>
      </c>
      <c r="Q14" s="161">
        <f>SUM(B14:P14)</f>
        <v>757566</v>
      </c>
      <c r="R14" s="14"/>
    </row>
    <row r="15" spans="1:18" ht="27" customHeight="1" x14ac:dyDescent="0.2">
      <c r="A15" s="159" t="s">
        <v>21</v>
      </c>
      <c r="B15" s="160">
        <f t="shared" ref="B15:P15" si="2">B13-B14</f>
        <v>175626</v>
      </c>
      <c r="C15" s="160">
        <f t="shared" si="2"/>
        <v>9410</v>
      </c>
      <c r="D15" s="160">
        <f t="shared" si="2"/>
        <v>73521</v>
      </c>
      <c r="E15" s="160">
        <f t="shared" si="2"/>
        <v>25474</v>
      </c>
      <c r="F15" s="160">
        <f t="shared" si="2"/>
        <v>12907</v>
      </c>
      <c r="G15" s="160">
        <f t="shared" si="2"/>
        <v>55567</v>
      </c>
      <c r="H15" s="160">
        <f t="shared" si="2"/>
        <v>899</v>
      </c>
      <c r="I15" s="160">
        <f t="shared" si="2"/>
        <v>79321</v>
      </c>
      <c r="J15" s="160">
        <f t="shared" si="2"/>
        <v>192939</v>
      </c>
      <c r="K15" s="160">
        <f t="shared" si="2"/>
        <v>127995</v>
      </c>
      <c r="L15" s="160">
        <f t="shared" si="2"/>
        <v>289595</v>
      </c>
      <c r="M15" s="160">
        <f t="shared" si="2"/>
        <v>89749</v>
      </c>
      <c r="N15" s="160">
        <f t="shared" si="2"/>
        <v>181797</v>
      </c>
      <c r="O15" s="160">
        <f t="shared" si="2"/>
        <v>68521</v>
      </c>
      <c r="P15" s="160">
        <f t="shared" si="2"/>
        <v>210102</v>
      </c>
      <c r="Q15" s="161">
        <f>SUM(B15:P15)</f>
        <v>1593423</v>
      </c>
      <c r="R15" s="162"/>
    </row>
    <row r="16" spans="1:18" ht="27" customHeight="1" x14ac:dyDescent="0.2">
      <c r="A16" s="163" t="s">
        <v>32</v>
      </c>
      <c r="B16" s="164">
        <f>-45815+60875</f>
        <v>15060</v>
      </c>
      <c r="C16" s="164">
        <f>187-74</f>
        <v>113</v>
      </c>
      <c r="D16" s="164">
        <f>39305-64985</f>
        <v>-25680</v>
      </c>
      <c r="E16" s="164">
        <f>73422-54167</f>
        <v>19255</v>
      </c>
      <c r="F16" s="164">
        <f>39454-36221</f>
        <v>3233</v>
      </c>
      <c r="G16" s="164">
        <f>59503-63521</f>
        <v>-4018</v>
      </c>
      <c r="H16" s="164">
        <v>-619</v>
      </c>
      <c r="I16" s="164">
        <f>35845-26334</f>
        <v>9511</v>
      </c>
      <c r="J16" s="164">
        <f>122474-94787</f>
        <v>27687</v>
      </c>
      <c r="K16" s="164">
        <f>-83611+93441</f>
        <v>9830</v>
      </c>
      <c r="L16" s="164">
        <f>235354-153367</f>
        <v>81987</v>
      </c>
      <c r="M16" s="164">
        <f>126793-87673</f>
        <v>39120</v>
      </c>
      <c r="N16" s="164">
        <f>68527-72615</f>
        <v>-4088</v>
      </c>
      <c r="O16" s="164">
        <f>106793-94954</f>
        <v>11839</v>
      </c>
      <c r="P16" s="164">
        <f>130663-120546</f>
        <v>10117</v>
      </c>
      <c r="Q16" s="165">
        <f>SUM(B16:P16)</f>
        <v>193347</v>
      </c>
      <c r="R16" s="14"/>
    </row>
    <row r="17" spans="1:18" ht="27" customHeight="1" x14ac:dyDescent="0.2">
      <c r="A17" s="65" t="s">
        <v>22</v>
      </c>
      <c r="B17" s="12">
        <f t="shared" ref="B17:P17" si="3">B15+B16</f>
        <v>190686</v>
      </c>
      <c r="C17" s="12">
        <f t="shared" si="3"/>
        <v>9523</v>
      </c>
      <c r="D17" s="12">
        <f t="shared" si="3"/>
        <v>47841</v>
      </c>
      <c r="E17" s="12">
        <f t="shared" si="3"/>
        <v>44729</v>
      </c>
      <c r="F17" s="12">
        <f t="shared" si="3"/>
        <v>16140</v>
      </c>
      <c r="G17" s="12">
        <f t="shared" si="3"/>
        <v>51549</v>
      </c>
      <c r="H17" s="12">
        <f t="shared" si="3"/>
        <v>280</v>
      </c>
      <c r="I17" s="12">
        <f t="shared" si="3"/>
        <v>88832</v>
      </c>
      <c r="J17" s="12">
        <f t="shared" si="3"/>
        <v>220626</v>
      </c>
      <c r="K17" s="12">
        <f t="shared" si="3"/>
        <v>137825</v>
      </c>
      <c r="L17" s="12">
        <f t="shared" si="3"/>
        <v>371582</v>
      </c>
      <c r="M17" s="12">
        <f t="shared" si="3"/>
        <v>128869</v>
      </c>
      <c r="N17" s="12">
        <f t="shared" si="3"/>
        <v>177709</v>
      </c>
      <c r="O17" s="12">
        <f t="shared" si="3"/>
        <v>80360</v>
      </c>
      <c r="P17" s="12">
        <f t="shared" si="3"/>
        <v>220219</v>
      </c>
      <c r="Q17" s="166">
        <f>SUM(B17:P17)</f>
        <v>1786770</v>
      </c>
      <c r="R17" s="14"/>
    </row>
    <row r="18" spans="1:18" ht="27.75" customHeight="1" x14ac:dyDescent="0.2">
      <c r="A18" s="62" t="s">
        <v>23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58"/>
      <c r="R18" s="14"/>
    </row>
    <row r="19" spans="1:18" ht="27.75" customHeight="1" x14ac:dyDescent="0.2">
      <c r="A19" s="159" t="s">
        <v>24</v>
      </c>
      <c r="B19" s="160">
        <v>79815</v>
      </c>
      <c r="C19" s="160">
        <v>0</v>
      </c>
      <c r="D19" s="160">
        <v>1563</v>
      </c>
      <c r="E19" s="160">
        <v>1186</v>
      </c>
      <c r="F19" s="160">
        <v>1052</v>
      </c>
      <c r="G19" s="160">
        <v>6879</v>
      </c>
      <c r="H19" s="160">
        <v>0</v>
      </c>
      <c r="I19" s="160">
        <v>2947</v>
      </c>
      <c r="J19" s="160">
        <v>27159</v>
      </c>
      <c r="K19" s="160">
        <v>47847</v>
      </c>
      <c r="L19" s="160">
        <v>22216</v>
      </c>
      <c r="M19" s="160">
        <v>34135</v>
      </c>
      <c r="N19" s="160">
        <v>34173</v>
      </c>
      <c r="O19" s="160">
        <v>10893</v>
      </c>
      <c r="P19" s="160">
        <v>128672</v>
      </c>
      <c r="Q19" s="161">
        <f t="shared" ref="Q19:Q25" si="4">SUM(B19:P19)</f>
        <v>398537</v>
      </c>
      <c r="R19" s="14"/>
    </row>
    <row r="20" spans="1:18" ht="27.75" customHeight="1" x14ac:dyDescent="0.2">
      <c r="A20" s="163" t="s">
        <v>25</v>
      </c>
      <c r="B20" s="164">
        <v>43909</v>
      </c>
      <c r="C20" s="164">
        <v>200</v>
      </c>
      <c r="D20" s="164">
        <v>13074</v>
      </c>
      <c r="E20" s="164">
        <v>4554</v>
      </c>
      <c r="F20" s="164">
        <v>4172</v>
      </c>
      <c r="G20" s="164">
        <v>6399</v>
      </c>
      <c r="H20" s="164">
        <v>0</v>
      </c>
      <c r="I20" s="164">
        <v>13043</v>
      </c>
      <c r="J20" s="164">
        <v>38530</v>
      </c>
      <c r="K20" s="164">
        <v>47368</v>
      </c>
      <c r="L20" s="164">
        <v>50195</v>
      </c>
      <c r="M20" s="164">
        <v>8840</v>
      </c>
      <c r="N20" s="164">
        <v>26077</v>
      </c>
      <c r="O20" s="164">
        <v>11752</v>
      </c>
      <c r="P20" s="164">
        <v>106222</v>
      </c>
      <c r="Q20" s="165">
        <f t="shared" si="4"/>
        <v>374335</v>
      </c>
      <c r="R20" s="14"/>
    </row>
    <row r="21" spans="1:18" ht="27.75" customHeight="1" x14ac:dyDescent="0.2">
      <c r="A21" s="65" t="s">
        <v>26</v>
      </c>
      <c r="B21" s="12">
        <f t="shared" ref="B21:P21" si="5">B19-B20</f>
        <v>35906</v>
      </c>
      <c r="C21" s="12">
        <f t="shared" si="5"/>
        <v>-200</v>
      </c>
      <c r="D21" s="12">
        <f t="shared" si="5"/>
        <v>-11511</v>
      </c>
      <c r="E21" s="12">
        <f t="shared" si="5"/>
        <v>-3368</v>
      </c>
      <c r="F21" s="12">
        <f t="shared" si="5"/>
        <v>-3120</v>
      </c>
      <c r="G21" s="12">
        <f t="shared" si="5"/>
        <v>480</v>
      </c>
      <c r="H21" s="12">
        <f t="shared" si="5"/>
        <v>0</v>
      </c>
      <c r="I21" s="12">
        <f t="shared" si="5"/>
        <v>-10096</v>
      </c>
      <c r="J21" s="12">
        <f t="shared" si="5"/>
        <v>-11371</v>
      </c>
      <c r="K21" s="12">
        <f t="shared" si="5"/>
        <v>479</v>
      </c>
      <c r="L21" s="12">
        <f t="shared" si="5"/>
        <v>-27979</v>
      </c>
      <c r="M21" s="12">
        <f t="shared" si="5"/>
        <v>25295</v>
      </c>
      <c r="N21" s="12">
        <f t="shared" si="5"/>
        <v>8096</v>
      </c>
      <c r="O21" s="12">
        <f t="shared" si="5"/>
        <v>-859</v>
      </c>
      <c r="P21" s="12">
        <f t="shared" si="5"/>
        <v>22450</v>
      </c>
      <c r="Q21" s="166">
        <f t="shared" si="4"/>
        <v>24202</v>
      </c>
      <c r="R21" s="162"/>
    </row>
    <row r="22" spans="1:18" ht="24" customHeight="1" x14ac:dyDescent="0.2">
      <c r="A22" s="67" t="s">
        <v>27</v>
      </c>
      <c r="B22" s="15">
        <v>94313</v>
      </c>
      <c r="C22" s="15">
        <v>465</v>
      </c>
      <c r="D22" s="15">
        <v>33071</v>
      </c>
      <c r="E22" s="15">
        <v>16115</v>
      </c>
      <c r="F22" s="15">
        <v>9045</v>
      </c>
      <c r="G22" s="15">
        <v>10583</v>
      </c>
      <c r="H22" s="15">
        <v>2253</v>
      </c>
      <c r="I22" s="15">
        <v>21889</v>
      </c>
      <c r="J22" s="15">
        <v>89273</v>
      </c>
      <c r="K22" s="15">
        <v>56746</v>
      </c>
      <c r="L22" s="15">
        <v>78020</v>
      </c>
      <c r="M22" s="15">
        <v>23169</v>
      </c>
      <c r="N22" s="15">
        <v>188524</v>
      </c>
      <c r="O22" s="15">
        <v>31532</v>
      </c>
      <c r="P22" s="15">
        <v>142660</v>
      </c>
      <c r="Q22" s="167">
        <f t="shared" si="4"/>
        <v>797658</v>
      </c>
      <c r="R22" s="14"/>
    </row>
    <row r="23" spans="1:18" ht="37.5" customHeight="1" x14ac:dyDescent="0.2">
      <c r="A23" s="68" t="s">
        <v>28</v>
      </c>
      <c r="B23" s="12">
        <f t="shared" ref="B23:I23" si="6">B11-B17+B19-B20-B22</f>
        <v>-17682</v>
      </c>
      <c r="C23" s="12">
        <f t="shared" si="6"/>
        <v>-1228</v>
      </c>
      <c r="D23" s="12">
        <f t="shared" si="6"/>
        <v>18522</v>
      </c>
      <c r="E23" s="12">
        <f t="shared" si="6"/>
        <v>-2206</v>
      </c>
      <c r="F23" s="12">
        <f t="shared" si="6"/>
        <v>1845</v>
      </c>
      <c r="G23" s="12">
        <f t="shared" si="6"/>
        <v>-1616</v>
      </c>
      <c r="H23" s="12">
        <f t="shared" si="6"/>
        <v>-2533</v>
      </c>
      <c r="I23" s="12">
        <f t="shared" si="6"/>
        <v>12</v>
      </c>
      <c r="J23" s="12">
        <v>-13521</v>
      </c>
      <c r="K23" s="12">
        <f t="shared" ref="K23:P23" si="7">K11-K17+K19-K20-K22</f>
        <v>33410</v>
      </c>
      <c r="L23" s="12">
        <f t="shared" si="7"/>
        <v>7923</v>
      </c>
      <c r="M23" s="12">
        <f t="shared" si="7"/>
        <v>37885</v>
      </c>
      <c r="N23" s="12">
        <f t="shared" si="7"/>
        <v>-144009</v>
      </c>
      <c r="O23" s="12">
        <f t="shared" si="7"/>
        <v>-7819</v>
      </c>
      <c r="P23" s="12">
        <f t="shared" si="7"/>
        <v>60552</v>
      </c>
      <c r="Q23" s="166">
        <f t="shared" si="4"/>
        <v>-30465</v>
      </c>
      <c r="R23" s="14"/>
    </row>
    <row r="24" spans="1:18" ht="37.5" customHeight="1" x14ac:dyDescent="0.2">
      <c r="A24" s="67" t="s">
        <v>29</v>
      </c>
      <c r="B24" s="15">
        <v>10763</v>
      </c>
      <c r="C24" s="15">
        <v>125</v>
      </c>
      <c r="D24" s="15">
        <v>1409</v>
      </c>
      <c r="E24" s="15">
        <v>11122</v>
      </c>
      <c r="F24" s="15">
        <v>10755</v>
      </c>
      <c r="G24" s="15">
        <v>4968</v>
      </c>
      <c r="H24" s="15">
        <v>1215</v>
      </c>
      <c r="I24" s="15">
        <v>5589</v>
      </c>
      <c r="J24" s="15">
        <v>0</v>
      </c>
      <c r="K24" s="15">
        <v>26102</v>
      </c>
      <c r="L24" s="15">
        <v>154313</v>
      </c>
      <c r="M24" s="15">
        <v>43232</v>
      </c>
      <c r="N24" s="15">
        <v>186184</v>
      </c>
      <c r="O24" s="15">
        <v>28102</v>
      </c>
      <c r="P24" s="15">
        <v>71200</v>
      </c>
      <c r="Q24" s="167">
        <f t="shared" si="4"/>
        <v>555079</v>
      </c>
      <c r="R24" s="14"/>
    </row>
    <row r="25" spans="1:18" ht="45" customHeight="1" thickBot="1" x14ac:dyDescent="0.25">
      <c r="A25" s="69" t="s">
        <v>30</v>
      </c>
      <c r="B25" s="17">
        <f t="shared" ref="B25:P25" si="8">B23+B24</f>
        <v>-6919</v>
      </c>
      <c r="C25" s="17">
        <f t="shared" si="8"/>
        <v>-1103</v>
      </c>
      <c r="D25" s="17">
        <f t="shared" si="8"/>
        <v>19931</v>
      </c>
      <c r="E25" s="17">
        <f t="shared" si="8"/>
        <v>8916</v>
      </c>
      <c r="F25" s="17">
        <f t="shared" si="8"/>
        <v>12600</v>
      </c>
      <c r="G25" s="17">
        <f t="shared" si="8"/>
        <v>3352</v>
      </c>
      <c r="H25" s="17">
        <f t="shared" si="8"/>
        <v>-1318</v>
      </c>
      <c r="I25" s="17">
        <f t="shared" si="8"/>
        <v>5601</v>
      </c>
      <c r="J25" s="17">
        <f t="shared" si="8"/>
        <v>-13521</v>
      </c>
      <c r="K25" s="17">
        <f t="shared" si="8"/>
        <v>59512</v>
      </c>
      <c r="L25" s="17">
        <f t="shared" si="8"/>
        <v>162236</v>
      </c>
      <c r="M25" s="17">
        <f t="shared" si="8"/>
        <v>81117</v>
      </c>
      <c r="N25" s="17">
        <f t="shared" si="8"/>
        <v>42175</v>
      </c>
      <c r="O25" s="17">
        <f t="shared" si="8"/>
        <v>20283</v>
      </c>
      <c r="P25" s="17">
        <f t="shared" si="8"/>
        <v>131752</v>
      </c>
      <c r="Q25" s="168">
        <f t="shared" si="4"/>
        <v>524614</v>
      </c>
      <c r="R25" s="14"/>
    </row>
    <row r="27" spans="1:18" x14ac:dyDescent="0.2">
      <c r="A27" s="154" t="s">
        <v>85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8" x14ac:dyDescent="0.2">
      <c r="B28" s="22"/>
      <c r="D28" s="22"/>
      <c r="I28" s="22"/>
      <c r="J28" s="22"/>
      <c r="M28" s="22"/>
    </row>
  </sheetData>
  <mergeCells count="4">
    <mergeCell ref="A2:O2"/>
    <mergeCell ref="P2:Q2"/>
    <mergeCell ref="A3:O3"/>
    <mergeCell ref="P3:Q3"/>
  </mergeCells>
  <printOptions horizontalCentered="1"/>
  <pageMargins left="0" right="0" top="0" bottom="0.5" header="0.25" footer="0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zoomScale="85" zoomScaleNormal="85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2.75" x14ac:dyDescent="0.2"/>
  <cols>
    <col min="1" max="1" width="54.28515625" bestFit="1" customWidth="1"/>
    <col min="2" max="3" width="11.42578125" customWidth="1"/>
    <col min="4" max="4" width="12.28515625" customWidth="1"/>
    <col min="5" max="5" width="9.140625" customWidth="1"/>
    <col min="6" max="7" width="10.28515625" customWidth="1"/>
    <col min="8" max="9" width="12.140625" customWidth="1"/>
    <col min="10" max="11" width="10.28515625" customWidth="1"/>
    <col min="12" max="12" width="10.85546875" customWidth="1"/>
    <col min="13" max="14" width="10.28515625" customWidth="1"/>
    <col min="15" max="15" width="12.140625" bestFit="1" customWidth="1"/>
    <col min="16" max="16" width="14.28515625" customWidth="1"/>
    <col min="17" max="17" width="15.5703125" bestFit="1" customWidth="1"/>
  </cols>
  <sheetData>
    <row r="1" spans="1:17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5.75" x14ac:dyDescent="0.25">
      <c r="A3" s="174" t="s">
        <v>98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4.25" customHeight="1" x14ac:dyDescent="0.2">
      <c r="A4" s="175" t="s">
        <v>37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s="3" customFormat="1" ht="37.5" customHeight="1" x14ac:dyDescent="0.2">
      <c r="A5" s="147"/>
      <c r="B5" s="148" t="s">
        <v>95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89</v>
      </c>
      <c r="M5" s="148" t="s">
        <v>10</v>
      </c>
      <c r="N5" s="148" t="s">
        <v>11</v>
      </c>
      <c r="O5" s="148" t="s">
        <v>12</v>
      </c>
      <c r="P5" s="155" t="s">
        <v>90</v>
      </c>
      <c r="Q5" s="149" t="s">
        <v>13</v>
      </c>
    </row>
    <row r="6" spans="1:17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7" ht="20.100000000000001" customHeight="1" x14ac:dyDescent="0.2">
      <c r="A7" s="152" t="s">
        <v>57</v>
      </c>
      <c r="B7" s="151">
        <v>351755.18300000002</v>
      </c>
      <c r="C7" s="151">
        <v>70706.890499999994</v>
      </c>
      <c r="D7" s="151">
        <v>209548.62400000001</v>
      </c>
      <c r="E7" s="151">
        <v>72197.436000000002</v>
      </c>
      <c r="F7" s="151">
        <v>406039.60606999998</v>
      </c>
      <c r="G7" s="151">
        <v>286507.90700000001</v>
      </c>
      <c r="H7" s="151">
        <v>1486832.8999579998</v>
      </c>
      <c r="I7" s="151">
        <v>2585948.89</v>
      </c>
      <c r="J7" s="151">
        <v>448031.40299999999</v>
      </c>
      <c r="K7" s="151">
        <v>548327.32799999998</v>
      </c>
      <c r="L7" s="151">
        <v>204389.91899999999</v>
      </c>
      <c r="M7" s="151">
        <v>1206418.267</v>
      </c>
      <c r="N7" s="151">
        <v>332336.21600000001</v>
      </c>
      <c r="O7" s="151">
        <v>3246476.0606900002</v>
      </c>
      <c r="P7" s="151">
        <v>353732.35399999999</v>
      </c>
      <c r="Q7" s="151">
        <f>SUM(B7:P7)</f>
        <v>11809248.984218</v>
      </c>
    </row>
    <row r="8" spans="1:17" ht="20.100000000000001" customHeight="1" x14ac:dyDescent="0.2">
      <c r="A8" s="152" t="s">
        <v>16</v>
      </c>
      <c r="B8" s="151">
        <v>154351.50099999999</v>
      </c>
      <c r="C8" s="151">
        <v>50312.9355</v>
      </c>
      <c r="D8" s="151">
        <v>14274.803</v>
      </c>
      <c r="E8" s="151">
        <v>13074.448</v>
      </c>
      <c r="F8" s="151">
        <v>125457.598</v>
      </c>
      <c r="G8" s="151">
        <v>18683.384999999998</v>
      </c>
      <c r="H8" s="151">
        <v>966958.30882644968</v>
      </c>
      <c r="I8" s="151">
        <v>574216.39</v>
      </c>
      <c r="J8" s="151">
        <v>52094.3148</v>
      </c>
      <c r="K8" s="151">
        <v>65871.404999999999</v>
      </c>
      <c r="L8" s="151">
        <v>141042.5</v>
      </c>
      <c r="M8" s="151">
        <v>553463.38399999996</v>
      </c>
      <c r="N8" s="151">
        <v>260375.033</v>
      </c>
      <c r="O8" s="151">
        <v>787094.93566349975</v>
      </c>
      <c r="P8" s="151">
        <v>353732.35399999999</v>
      </c>
      <c r="Q8" s="151">
        <f t="shared" ref="Q8:Q26" si="0">SUM(B8:P8)</f>
        <v>4131003.2957899496</v>
      </c>
    </row>
    <row r="9" spans="1:17" ht="20.100000000000001" customHeight="1" x14ac:dyDescent="0.2">
      <c r="A9" s="152" t="s">
        <v>58</v>
      </c>
      <c r="B9" s="151">
        <v>197403.682</v>
      </c>
      <c r="C9" s="151">
        <v>20393.955000000002</v>
      </c>
      <c r="D9" s="151">
        <v>195273.821</v>
      </c>
      <c r="E9" s="151">
        <v>59122.987999999998</v>
      </c>
      <c r="F9" s="151">
        <v>280582.0080700001</v>
      </c>
      <c r="G9" s="151">
        <v>267824.522</v>
      </c>
      <c r="H9" s="151">
        <v>519874.59113155032</v>
      </c>
      <c r="I9" s="151">
        <v>2011732.5</v>
      </c>
      <c r="J9" s="151">
        <v>395937.08820000017</v>
      </c>
      <c r="K9" s="151">
        <v>482455.92300000001</v>
      </c>
      <c r="L9" s="151">
        <v>63347.419000000002</v>
      </c>
      <c r="M9" s="151">
        <v>652954.88300000003</v>
      </c>
      <c r="N9" s="151">
        <v>71961.183000000005</v>
      </c>
      <c r="O9" s="151">
        <v>2459381.1250265008</v>
      </c>
      <c r="P9" s="151">
        <v>0</v>
      </c>
      <c r="Q9" s="151">
        <f t="shared" si="0"/>
        <v>7678245.6884280518</v>
      </c>
    </row>
    <row r="10" spans="1:17" ht="20.100000000000001" customHeight="1" x14ac:dyDescent="0.2">
      <c r="A10" s="152" t="s">
        <v>59</v>
      </c>
      <c r="B10" s="151">
        <v>-8614.2160000000003</v>
      </c>
      <c r="C10" s="151">
        <v>-2431.913</v>
      </c>
      <c r="D10" s="151">
        <v>-6557.92</v>
      </c>
      <c r="E10" s="151">
        <v>0</v>
      </c>
      <c r="F10" s="151">
        <v>-3473.43</v>
      </c>
      <c r="G10" s="151">
        <v>0</v>
      </c>
      <c r="H10" s="151">
        <v>0</v>
      </c>
      <c r="I10" s="151">
        <v>-20670.03</v>
      </c>
      <c r="J10" s="151">
        <v>8098.3602999999912</v>
      </c>
      <c r="K10" s="151">
        <v>0</v>
      </c>
      <c r="L10" s="151">
        <v>-3678.8319999999999</v>
      </c>
      <c r="M10" s="151">
        <v>0</v>
      </c>
      <c r="N10" s="151">
        <v>184.352</v>
      </c>
      <c r="O10" s="151">
        <v>0</v>
      </c>
      <c r="P10" s="151">
        <v>0</v>
      </c>
      <c r="Q10" s="151">
        <f t="shared" si="0"/>
        <v>-37143.628700000008</v>
      </c>
    </row>
    <row r="11" spans="1:17" ht="20.100000000000001" customHeight="1" x14ac:dyDescent="0.2">
      <c r="A11" s="152" t="s">
        <v>60</v>
      </c>
      <c r="B11" s="151">
        <v>206017.89799999999</v>
      </c>
      <c r="C11" s="151">
        <v>17962.041000000001</v>
      </c>
      <c r="D11" s="151">
        <v>188715.90100000001</v>
      </c>
      <c r="E11" s="151">
        <v>57078.281999999999</v>
      </c>
      <c r="F11" s="151">
        <v>284055.43807000009</v>
      </c>
      <c r="G11" s="151">
        <v>262311.14799999999</v>
      </c>
      <c r="H11" s="151">
        <v>569049.82540572376</v>
      </c>
      <c r="I11" s="151">
        <v>1991062.4720000001</v>
      </c>
      <c r="J11" s="151">
        <v>387838.7279</v>
      </c>
      <c r="K11" s="151">
        <v>478265.63799999998</v>
      </c>
      <c r="L11" s="151">
        <v>59668.588000000003</v>
      </c>
      <c r="M11" s="151">
        <v>629236.61</v>
      </c>
      <c r="N11" s="151">
        <v>72145.535000000003</v>
      </c>
      <c r="O11" s="151">
        <v>2408648.6289033587</v>
      </c>
      <c r="P11" s="151">
        <v>0</v>
      </c>
      <c r="Q11" s="151">
        <f t="shared" si="0"/>
        <v>7612056.7332790829</v>
      </c>
    </row>
    <row r="12" spans="1:17" ht="20.100000000000001" customHeight="1" x14ac:dyDescent="0.2">
      <c r="A12" s="156" t="s">
        <v>67</v>
      </c>
      <c r="B12" s="151">
        <v>0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f t="shared" si="0"/>
        <v>0</v>
      </c>
    </row>
    <row r="13" spans="1:17" ht="20.100000000000001" customHeight="1" x14ac:dyDescent="0.2">
      <c r="A13" s="152" t="s">
        <v>57</v>
      </c>
      <c r="B13" s="151">
        <v>239428.739</v>
      </c>
      <c r="C13" s="151">
        <v>16096.995000000001</v>
      </c>
      <c r="D13" s="151">
        <v>147256.209</v>
      </c>
      <c r="E13" s="151">
        <v>52319.379000000001</v>
      </c>
      <c r="F13" s="151">
        <v>162931.31567000001</v>
      </c>
      <c r="G13" s="151">
        <v>117587.58100000001</v>
      </c>
      <c r="H13" s="151">
        <v>750331.67562999972</v>
      </c>
      <c r="I13" s="151">
        <v>1189837.7620000001</v>
      </c>
      <c r="J13" s="151">
        <v>229090.61894999997</v>
      </c>
      <c r="K13" s="151">
        <v>309927.03600000002</v>
      </c>
      <c r="L13" s="151">
        <v>195876.68700000001</v>
      </c>
      <c r="M13" s="151">
        <v>754796.66200000001</v>
      </c>
      <c r="N13" s="151">
        <v>86159.517000000007</v>
      </c>
      <c r="O13" s="151">
        <v>1794416.7351200001</v>
      </c>
      <c r="P13" s="151">
        <v>132502.52499999999</v>
      </c>
      <c r="Q13" s="151">
        <f t="shared" si="0"/>
        <v>6178559.4373700004</v>
      </c>
    </row>
    <row r="14" spans="1:17" ht="20.100000000000001" customHeight="1" x14ac:dyDescent="0.2">
      <c r="A14" s="152" t="s">
        <v>16</v>
      </c>
      <c r="B14" s="151">
        <v>141826.30600000001</v>
      </c>
      <c r="C14" s="151">
        <v>11267.896000000001</v>
      </c>
      <c r="D14" s="151">
        <v>43090.292999999998</v>
      </c>
      <c r="E14" s="151">
        <v>15793.254000000001</v>
      </c>
      <c r="F14" s="151">
        <v>34467.125999999997</v>
      </c>
      <c r="G14" s="151">
        <v>6307.4440000000004</v>
      </c>
      <c r="H14" s="151">
        <v>392446.62627931923</v>
      </c>
      <c r="I14" s="151">
        <v>51811.434999999998</v>
      </c>
      <c r="J14" s="151">
        <v>14137.63125</v>
      </c>
      <c r="K14" s="151">
        <v>39730.718999999997</v>
      </c>
      <c r="L14" s="151">
        <v>191192.549</v>
      </c>
      <c r="M14" s="151">
        <v>414296.21</v>
      </c>
      <c r="N14" s="151">
        <v>48154.309000000001</v>
      </c>
      <c r="O14" s="151">
        <v>158450.79300000001</v>
      </c>
      <c r="P14" s="151">
        <v>132502.52499999999</v>
      </c>
      <c r="Q14" s="151">
        <f t="shared" si="0"/>
        <v>1695475.116529319</v>
      </c>
    </row>
    <row r="15" spans="1:17" ht="20.100000000000001" customHeight="1" x14ac:dyDescent="0.2">
      <c r="A15" s="152" t="s">
        <v>58</v>
      </c>
      <c r="B15" s="151">
        <v>97602.433000000005</v>
      </c>
      <c r="C15" s="151">
        <v>4829.0990000000002</v>
      </c>
      <c r="D15" s="151">
        <v>104165.916</v>
      </c>
      <c r="E15" s="151">
        <v>36526.125</v>
      </c>
      <c r="F15" s="151">
        <v>128464.18967000001</v>
      </c>
      <c r="G15" s="151">
        <v>111280.137</v>
      </c>
      <c r="H15" s="151">
        <v>357885.04935068084</v>
      </c>
      <c r="I15" s="151">
        <v>1138026.327</v>
      </c>
      <c r="J15" s="151">
        <v>214952.9877</v>
      </c>
      <c r="K15" s="151">
        <v>270196.31699999998</v>
      </c>
      <c r="L15" s="151">
        <v>4684.1379999999999</v>
      </c>
      <c r="M15" s="151">
        <v>340500.45199999999</v>
      </c>
      <c r="N15" s="151">
        <v>38005.207999999999</v>
      </c>
      <c r="O15" s="151">
        <v>1635965.94212</v>
      </c>
      <c r="P15" s="151">
        <v>0</v>
      </c>
      <c r="Q15" s="151">
        <f t="shared" si="0"/>
        <v>4483084.320840681</v>
      </c>
    </row>
    <row r="16" spans="1:17" ht="20.100000000000001" customHeight="1" x14ac:dyDescent="0.2">
      <c r="A16" s="152" t="s">
        <v>61</v>
      </c>
      <c r="B16" s="151">
        <v>724.08900000000006</v>
      </c>
      <c r="C16" s="151">
        <v>11174.050999999999</v>
      </c>
      <c r="D16" s="151">
        <v>-10023.704</v>
      </c>
      <c r="E16" s="151">
        <v>0</v>
      </c>
      <c r="F16" s="151">
        <v>13518.229160250012</v>
      </c>
      <c r="G16" s="151">
        <v>0</v>
      </c>
      <c r="H16" s="151">
        <v>0</v>
      </c>
      <c r="I16" s="151">
        <v>94358.766000000003</v>
      </c>
      <c r="J16" s="151">
        <v>-15458.217559999992</v>
      </c>
      <c r="K16" s="151">
        <v>0</v>
      </c>
      <c r="L16" s="151">
        <v>-33279.383000000002</v>
      </c>
      <c r="M16" s="151">
        <v>0</v>
      </c>
      <c r="N16" s="151">
        <v>-9246.0759911725108</v>
      </c>
      <c r="O16" s="151">
        <v>-30385.494999999999</v>
      </c>
      <c r="P16" s="151">
        <v>0</v>
      </c>
      <c r="Q16" s="151">
        <f t="shared" si="0"/>
        <v>21382.259609077508</v>
      </c>
    </row>
    <row r="17" spans="1:17" ht="20.100000000000001" customHeight="1" x14ac:dyDescent="0.2">
      <c r="A17" s="152" t="s">
        <v>62</v>
      </c>
      <c r="B17" s="151">
        <v>98326.521999999997</v>
      </c>
      <c r="C17" s="151">
        <v>9515.1890000000003</v>
      </c>
      <c r="D17" s="151">
        <v>94142.212</v>
      </c>
      <c r="E17" s="151">
        <v>35902.453000000001</v>
      </c>
      <c r="F17" s="151">
        <v>141982.41883024998</v>
      </c>
      <c r="G17" s="151">
        <v>118130.30899999999</v>
      </c>
      <c r="H17" s="151">
        <v>360166.32667466393</v>
      </c>
      <c r="I17" s="151">
        <v>1232385.0930000001</v>
      </c>
      <c r="J17" s="151">
        <v>199494.77014000001</v>
      </c>
      <c r="K17" s="151">
        <v>310158.29399999999</v>
      </c>
      <c r="L17" s="151">
        <v>37963.519999999997</v>
      </c>
      <c r="M17" s="151">
        <v>358490.266</v>
      </c>
      <c r="N17" s="151">
        <v>28759.132008827488</v>
      </c>
      <c r="O17" s="151">
        <v>1550773.4006500007</v>
      </c>
      <c r="P17" s="151">
        <v>0</v>
      </c>
      <c r="Q17" s="151">
        <f t="shared" si="0"/>
        <v>4576189.906303742</v>
      </c>
    </row>
    <row r="18" spans="1:17" ht="20.100000000000001" customHeight="1" x14ac:dyDescent="0.2">
      <c r="A18" s="156" t="s">
        <v>68</v>
      </c>
      <c r="B18" s="151">
        <v>0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f t="shared" si="0"/>
        <v>0</v>
      </c>
    </row>
    <row r="19" spans="1:17" ht="20.100000000000001" customHeight="1" x14ac:dyDescent="0.2">
      <c r="A19" s="152" t="s">
        <v>63</v>
      </c>
      <c r="B19" s="151">
        <v>2583.9899999999998</v>
      </c>
      <c r="C19" s="151">
        <v>17444.466</v>
      </c>
      <c r="D19" s="151">
        <v>2762.694</v>
      </c>
      <c r="E19" s="151">
        <v>1864.17</v>
      </c>
      <c r="F19" s="151">
        <v>22473.567644241692</v>
      </c>
      <c r="G19" s="151">
        <v>3133.1350000000002</v>
      </c>
      <c r="H19" s="151">
        <v>116672.26765405796</v>
      </c>
      <c r="I19" s="151">
        <v>143217.81</v>
      </c>
      <c r="J19" s="151">
        <v>2633.8275600000002</v>
      </c>
      <c r="K19" s="151">
        <v>8118.1450000000004</v>
      </c>
      <c r="L19" s="151">
        <v>37665.561999999998</v>
      </c>
      <c r="M19" s="151">
        <v>93910.122000000003</v>
      </c>
      <c r="N19" s="151">
        <v>32941.921781012854</v>
      </c>
      <c r="O19" s="151">
        <v>209382.995</v>
      </c>
      <c r="P19" s="151">
        <v>63730.760999999999</v>
      </c>
      <c r="Q19" s="151">
        <f t="shared" si="0"/>
        <v>758535.43463931256</v>
      </c>
    </row>
    <row r="20" spans="1:17" ht="20.100000000000001" customHeight="1" x14ac:dyDescent="0.2">
      <c r="A20" s="152" t="s">
        <v>64</v>
      </c>
      <c r="B20" s="151">
        <v>15272.575999999999</v>
      </c>
      <c r="C20" s="151">
        <v>597.36300000000006</v>
      </c>
      <c r="D20" s="151">
        <v>8816.6209999999992</v>
      </c>
      <c r="E20" s="151">
        <v>7481.3130000000001</v>
      </c>
      <c r="F20" s="151">
        <v>48241.591574040001</v>
      </c>
      <c r="G20" s="151">
        <v>24128.925999999999</v>
      </c>
      <c r="H20" s="151">
        <v>145386.793806</v>
      </c>
      <c r="I20" s="151">
        <v>407390.38900000002</v>
      </c>
      <c r="J20" s="151">
        <v>64188.797890000023</v>
      </c>
      <c r="K20" s="151">
        <v>43489.061000000002</v>
      </c>
      <c r="L20" s="151">
        <v>978.81100000000004</v>
      </c>
      <c r="M20" s="151">
        <v>81418.453999999998</v>
      </c>
      <c r="N20" s="151">
        <v>31393.363047126251</v>
      </c>
      <c r="O20" s="151">
        <v>328047.43641000014</v>
      </c>
      <c r="P20" s="151">
        <v>40108.627999999997</v>
      </c>
      <c r="Q20" s="151">
        <f t="shared" si="0"/>
        <v>1246940.1247271665</v>
      </c>
    </row>
    <row r="21" spans="1:17" ht="20.100000000000001" customHeight="1" x14ac:dyDescent="0.2">
      <c r="A21" s="152" t="s">
        <v>58</v>
      </c>
      <c r="B21" s="151">
        <v>-12688.585999999999</v>
      </c>
      <c r="C21" s="151">
        <v>16847.102999999999</v>
      </c>
      <c r="D21" s="151">
        <v>-6053.9269999999997</v>
      </c>
      <c r="E21" s="151">
        <v>-5617.143</v>
      </c>
      <c r="F21" s="151">
        <v>-25768.02392979831</v>
      </c>
      <c r="G21" s="151">
        <v>-20995.791000000001</v>
      </c>
      <c r="H21" s="151">
        <v>-28714.526151942038</v>
      </c>
      <c r="I21" s="151">
        <v>-264172.57900000003</v>
      </c>
      <c r="J21" s="151">
        <v>-61554.970329999996</v>
      </c>
      <c r="K21" s="151">
        <v>-35370.915999999997</v>
      </c>
      <c r="L21" s="151">
        <v>36686.750999999997</v>
      </c>
      <c r="M21" s="151">
        <v>12491.668</v>
      </c>
      <c r="N21" s="151">
        <v>1548.5587338866001</v>
      </c>
      <c r="O21" s="151">
        <v>-118664.44141000004</v>
      </c>
      <c r="P21" s="151">
        <v>23622.133000000002</v>
      </c>
      <c r="Q21" s="151">
        <f t="shared" si="0"/>
        <v>-488404.69008785381</v>
      </c>
    </row>
    <row r="22" spans="1:17" ht="20.100000000000001" customHeight="1" x14ac:dyDescent="0.2">
      <c r="A22" s="150" t="s">
        <v>69</v>
      </c>
      <c r="B22" s="151">
        <v>68020.69</v>
      </c>
      <c r="C22" s="151">
        <v>14956.814</v>
      </c>
      <c r="D22" s="151">
        <v>65589.573999999993</v>
      </c>
      <c r="E22" s="151">
        <v>18996.128000000001</v>
      </c>
      <c r="F22" s="151">
        <v>91230.112250000035</v>
      </c>
      <c r="G22" s="151">
        <v>83635.751000000004</v>
      </c>
      <c r="H22" s="151">
        <v>169504.46660397548</v>
      </c>
      <c r="I22" s="151">
        <v>400458.24400000001</v>
      </c>
      <c r="J22" s="151">
        <v>44447.455569999998</v>
      </c>
      <c r="K22" s="151">
        <v>136218.65400000001</v>
      </c>
      <c r="L22" s="151">
        <v>63648.353000000003</v>
      </c>
      <c r="M22" s="151">
        <v>208502.709</v>
      </c>
      <c r="N22" s="151">
        <v>51187.434999999998</v>
      </c>
      <c r="O22" s="151">
        <v>646728.64454999985</v>
      </c>
      <c r="P22" s="151">
        <v>8274.8349999999991</v>
      </c>
      <c r="Q22" s="151">
        <f t="shared" si="0"/>
        <v>2071399.8659739753</v>
      </c>
    </row>
    <row r="23" spans="1:17" ht="20.100000000000001" customHeight="1" x14ac:dyDescent="0.2">
      <c r="A23" s="150" t="s">
        <v>70</v>
      </c>
      <c r="B23" s="151">
        <v>26982.1</v>
      </c>
      <c r="C23" s="151">
        <v>10337.141</v>
      </c>
      <c r="D23" s="151">
        <v>22930.187999999998</v>
      </c>
      <c r="E23" s="151">
        <v>-3437.442</v>
      </c>
      <c r="F23" s="151">
        <v>25074.88305995167</v>
      </c>
      <c r="G23" s="151">
        <v>39549.296999999999</v>
      </c>
      <c r="H23" s="151">
        <v>10664.505975142079</v>
      </c>
      <c r="I23" s="151">
        <v>94046.555999999997</v>
      </c>
      <c r="J23" s="151">
        <v>82341.531860000032</v>
      </c>
      <c r="K23" s="151">
        <v>-3482.2260000000001</v>
      </c>
      <c r="L23" s="151">
        <v>-5256.5339999999997</v>
      </c>
      <c r="M23" s="151">
        <v>74735.303</v>
      </c>
      <c r="N23" s="151">
        <v>-6252.4732749408804</v>
      </c>
      <c r="O23" s="151">
        <v>92482.14229335959</v>
      </c>
      <c r="P23" s="151">
        <v>15347.298000000001</v>
      </c>
      <c r="Q23" s="151">
        <f t="shared" si="0"/>
        <v>476062.2709135125</v>
      </c>
    </row>
    <row r="24" spans="1:17" ht="20.100000000000001" customHeight="1" x14ac:dyDescent="0.2">
      <c r="A24" s="150" t="s">
        <v>71</v>
      </c>
      <c r="B24" s="151">
        <v>9855.902</v>
      </c>
      <c r="C24" s="151">
        <v>6651.518</v>
      </c>
      <c r="D24" s="151">
        <v>15448.540999999999</v>
      </c>
      <c r="E24" s="151">
        <v>3789.877</v>
      </c>
      <c r="F24" s="151">
        <v>1054.4475</v>
      </c>
      <c r="G24" s="151">
        <v>649.03300000000002</v>
      </c>
      <c r="H24" s="151">
        <v>36194.6973183562</v>
      </c>
      <c r="I24" s="151">
        <v>147616.54199999999</v>
      </c>
      <c r="J24" s="151">
        <v>38971.670969999999</v>
      </c>
      <c r="K24" s="151">
        <v>9115.2379999999994</v>
      </c>
      <c r="L24" s="151">
        <v>0</v>
      </c>
      <c r="M24" s="151">
        <v>39389.485999999997</v>
      </c>
      <c r="N24" s="151">
        <v>62840.167000000001</v>
      </c>
      <c r="O24" s="151">
        <v>160611.73561999999</v>
      </c>
      <c r="P24" s="151">
        <v>496.577</v>
      </c>
      <c r="Q24" s="151">
        <f t="shared" si="0"/>
        <v>532685.43240835622</v>
      </c>
    </row>
    <row r="25" spans="1:17" ht="20.100000000000001" customHeight="1" x14ac:dyDescent="0.2">
      <c r="A25" s="150" t="s">
        <v>72</v>
      </c>
      <c r="B25" s="151">
        <v>36838.002</v>
      </c>
      <c r="C25" s="151">
        <v>16988.659</v>
      </c>
      <c r="D25" s="151">
        <v>38378.728999999999</v>
      </c>
      <c r="E25" s="151">
        <v>352.435</v>
      </c>
      <c r="F25" s="151">
        <v>26129.330559951672</v>
      </c>
      <c r="G25" s="151">
        <v>40198.33</v>
      </c>
      <c r="H25" s="151">
        <v>46859.203293498278</v>
      </c>
      <c r="I25" s="151">
        <v>241663.098</v>
      </c>
      <c r="J25" s="151">
        <v>121313.20283000004</v>
      </c>
      <c r="K25" s="151">
        <v>5633.0119999999997</v>
      </c>
      <c r="L25" s="151">
        <v>-5256.5339999999997</v>
      </c>
      <c r="M25" s="151">
        <v>114124.789</v>
      </c>
      <c r="N25" s="151">
        <v>56587.693725059107</v>
      </c>
      <c r="O25" s="151">
        <v>253093.87791335958</v>
      </c>
      <c r="P25" s="151">
        <v>15843.875</v>
      </c>
      <c r="Q25" s="151">
        <f t="shared" si="0"/>
        <v>1008747.7033218688</v>
      </c>
    </row>
    <row r="26" spans="1:17" ht="20.100000000000001" customHeight="1" x14ac:dyDescent="0.2">
      <c r="A26" s="150" t="s">
        <v>73</v>
      </c>
      <c r="B26" s="151">
        <v>0</v>
      </c>
      <c r="C26" s="151">
        <v>1791.4794999999999</v>
      </c>
      <c r="D26" s="151">
        <v>6082.9960000000001</v>
      </c>
      <c r="E26" s="151">
        <v>0</v>
      </c>
      <c r="F26" s="151">
        <v>4391.6599200000001</v>
      </c>
      <c r="G26" s="151">
        <v>0</v>
      </c>
      <c r="H26" s="151">
        <v>-5505.0312363353096</v>
      </c>
      <c r="I26" s="151">
        <v>19122.73</v>
      </c>
      <c r="J26" s="151">
        <v>0</v>
      </c>
      <c r="K26" s="151">
        <v>0</v>
      </c>
      <c r="L26" s="151">
        <v>0</v>
      </c>
      <c r="M26" s="151">
        <v>0</v>
      </c>
      <c r="N26" s="151">
        <v>10556.611999999999</v>
      </c>
      <c r="O26" s="151">
        <v>18835.003000000001</v>
      </c>
      <c r="P26" s="151">
        <v>3246.4769999999999</v>
      </c>
      <c r="Q26" s="151">
        <f t="shared" si="0"/>
        <v>58521.926183664691</v>
      </c>
    </row>
    <row r="27" spans="1:17" ht="14.25" x14ac:dyDescent="0.2">
      <c r="A27" s="15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14.25" x14ac:dyDescent="0.2">
      <c r="A28" s="153" t="s">
        <v>87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14.25" x14ac:dyDescent="0.2">
      <c r="A29" s="169" t="s">
        <v>88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1" spans="1:17" x14ac:dyDescent="0.2">
      <c r="E31" s="151"/>
    </row>
  </sheetData>
  <mergeCells count="3">
    <mergeCell ref="A2:Q2"/>
    <mergeCell ref="A3:Q3"/>
    <mergeCell ref="A4:Q4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:Q4"/>
    </sheetView>
  </sheetViews>
  <sheetFormatPr defaultRowHeight="12.75" x14ac:dyDescent="0.2"/>
  <cols>
    <col min="1" max="1" width="54.28515625" bestFit="1" customWidth="1"/>
    <col min="2" max="3" width="11.42578125" customWidth="1"/>
    <col min="4" max="4" width="12.28515625" customWidth="1"/>
    <col min="6" max="7" width="10.28515625" bestFit="1" customWidth="1"/>
    <col min="8" max="9" width="12.140625" bestFit="1" customWidth="1"/>
    <col min="10" max="11" width="10.28515625" bestFit="1" customWidth="1"/>
    <col min="12" max="12" width="10.85546875" bestFit="1" customWidth="1"/>
    <col min="13" max="14" width="10.28515625" bestFit="1" customWidth="1"/>
    <col min="15" max="15" width="12.140625" bestFit="1" customWidth="1"/>
    <col min="16" max="16" width="14.28515625" customWidth="1"/>
    <col min="17" max="17" width="15.5703125" bestFit="1" customWidth="1"/>
  </cols>
  <sheetData>
    <row r="1" spans="1:18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8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8" ht="15.75" x14ac:dyDescent="0.25">
      <c r="A3" s="174" t="s">
        <v>97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8" ht="14.25" customHeight="1" x14ac:dyDescent="0.2">
      <c r="A4" s="175" t="s">
        <v>37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8" s="3" customFormat="1" ht="37.5" customHeight="1" x14ac:dyDescent="0.2">
      <c r="A5" s="147"/>
      <c r="B5" s="148" t="s">
        <v>95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89</v>
      </c>
      <c r="M5" s="148" t="s">
        <v>10</v>
      </c>
      <c r="N5" s="148" t="s">
        <v>11</v>
      </c>
      <c r="O5" s="148" t="s">
        <v>12</v>
      </c>
      <c r="P5" s="155" t="s">
        <v>90</v>
      </c>
      <c r="Q5" s="149" t="s">
        <v>13</v>
      </c>
      <c r="R5"/>
    </row>
    <row r="6" spans="1:18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8" ht="20.100000000000001" customHeight="1" x14ac:dyDescent="0.2">
      <c r="A7" s="152" t="s">
        <v>57</v>
      </c>
      <c r="B7" s="151">
        <v>356865.45199999999</v>
      </c>
      <c r="C7" s="151">
        <v>78217.05752161803</v>
      </c>
      <c r="D7" s="151">
        <v>202150.65900000001</v>
      </c>
      <c r="E7" s="151">
        <v>66203.75351000001</v>
      </c>
      <c r="F7" s="151">
        <v>401759.23018000001</v>
      </c>
      <c r="G7" s="151">
        <v>278379.81800000003</v>
      </c>
      <c r="H7" s="151">
        <v>1456916.1163659999</v>
      </c>
      <c r="I7" s="151">
        <v>2496979.8089999999</v>
      </c>
      <c r="J7" s="151">
        <v>444741.91979300004</v>
      </c>
      <c r="K7" s="151">
        <v>495828.951</v>
      </c>
      <c r="L7" s="151">
        <v>162455.649</v>
      </c>
      <c r="M7" s="151">
        <v>1187591.236</v>
      </c>
      <c r="N7" s="151">
        <v>214858.83300000001</v>
      </c>
      <c r="O7" s="151">
        <v>3051387.2349999999</v>
      </c>
      <c r="P7" s="151">
        <v>171146.03099999999</v>
      </c>
      <c r="Q7" s="151">
        <f>SUM(B7:P7)</f>
        <v>11065481.750370618</v>
      </c>
    </row>
    <row r="8" spans="1:18" ht="20.100000000000001" customHeight="1" x14ac:dyDescent="0.2">
      <c r="A8" s="152" t="s">
        <v>16</v>
      </c>
      <c r="B8" s="151">
        <v>153231.48902666671</v>
      </c>
      <c r="C8" s="151">
        <v>56401.441525027411</v>
      </c>
      <c r="D8" s="151">
        <v>15589.723</v>
      </c>
      <c r="E8" s="151">
        <v>12170.685629999998</v>
      </c>
      <c r="F8" s="151">
        <v>108971.66126044733</v>
      </c>
      <c r="G8" s="151">
        <v>19368.66</v>
      </c>
      <c r="H8" s="151">
        <v>850079.54799999995</v>
      </c>
      <c r="I8" s="151">
        <v>601187.17700000003</v>
      </c>
      <c r="J8" s="151">
        <v>38416.979941600002</v>
      </c>
      <c r="K8" s="151">
        <v>26100.186000000002</v>
      </c>
      <c r="L8" s="151">
        <v>105001.773</v>
      </c>
      <c r="M8" s="151">
        <v>601710.13899999997</v>
      </c>
      <c r="N8" s="151">
        <v>144699.872</v>
      </c>
      <c r="O8" s="151">
        <v>733218.64199999999</v>
      </c>
      <c r="P8" s="151">
        <v>171146.03099999999</v>
      </c>
      <c r="Q8" s="151">
        <f t="shared" ref="Q8:Q26" si="0">SUM(B8:P8)</f>
        <v>3637294.0083837416</v>
      </c>
    </row>
    <row r="9" spans="1:18" ht="20.100000000000001" customHeight="1" x14ac:dyDescent="0.2">
      <c r="A9" s="152" t="s">
        <v>58</v>
      </c>
      <c r="B9" s="151">
        <v>203633.96297333331</v>
      </c>
      <c r="C9" s="151">
        <v>21815.615996590623</v>
      </c>
      <c r="D9" s="151">
        <v>186560.93599999999</v>
      </c>
      <c r="E9" s="151">
        <v>54033.067879999995</v>
      </c>
      <c r="F9" s="151">
        <v>292787.56891955266</v>
      </c>
      <c r="G9" s="151">
        <v>259011.158</v>
      </c>
      <c r="H9" s="151">
        <v>606836.5683660002</v>
      </c>
      <c r="I9" s="151">
        <v>1895792.632</v>
      </c>
      <c r="J9" s="151">
        <v>406324.93985140015</v>
      </c>
      <c r="K9" s="151">
        <v>469728.76500000001</v>
      </c>
      <c r="L9" s="151">
        <v>57453.875999999997</v>
      </c>
      <c r="M9" s="151">
        <v>585881.09699999995</v>
      </c>
      <c r="N9" s="151">
        <v>70158.960999999996</v>
      </c>
      <c r="O9" s="151">
        <v>2318168.5929999999</v>
      </c>
      <c r="P9" s="151">
        <v>0</v>
      </c>
      <c r="Q9" s="151">
        <f t="shared" si="0"/>
        <v>7428187.7419868764</v>
      </c>
    </row>
    <row r="10" spans="1:18" ht="20.100000000000001" customHeight="1" x14ac:dyDescent="0.2">
      <c r="A10" s="152" t="s">
        <v>59</v>
      </c>
      <c r="B10" s="151">
        <v>0</v>
      </c>
      <c r="C10" s="151">
        <v>0</v>
      </c>
      <c r="D10" s="151">
        <v>-7485.8</v>
      </c>
      <c r="E10" s="151">
        <v>0</v>
      </c>
      <c r="F10" s="151">
        <v>-20327.011333333339</v>
      </c>
      <c r="G10" s="151">
        <v>463.76499999999999</v>
      </c>
      <c r="H10" s="151">
        <v>21430.036</v>
      </c>
      <c r="I10" s="151">
        <v>0</v>
      </c>
      <c r="J10" s="151">
        <v>15112.607239999999</v>
      </c>
      <c r="K10" s="151">
        <v>0</v>
      </c>
      <c r="L10" s="151">
        <v>-7085.56</v>
      </c>
      <c r="M10" s="151">
        <v>-18964.823</v>
      </c>
      <c r="N10" s="151">
        <v>3427.2030341138802</v>
      </c>
      <c r="O10" s="151">
        <v>264327.82900000003</v>
      </c>
      <c r="P10" s="151">
        <v>0</v>
      </c>
      <c r="Q10" s="151">
        <f t="shared" si="0"/>
        <v>250898.24594078056</v>
      </c>
    </row>
    <row r="11" spans="1:18" ht="20.100000000000001" customHeight="1" x14ac:dyDescent="0.2">
      <c r="A11" s="152" t="s">
        <v>60</v>
      </c>
      <c r="B11" s="151">
        <v>199254.52797333329</v>
      </c>
      <c r="C11" s="151">
        <v>21976.421256590645</v>
      </c>
      <c r="D11" s="151">
        <v>179075.13630000001</v>
      </c>
      <c r="E11" s="151">
        <v>54347.477879999999</v>
      </c>
      <c r="F11" s="151">
        <v>272460.55758621934</v>
      </c>
      <c r="G11" s="151">
        <v>252683.21400000001</v>
      </c>
      <c r="H11" s="151">
        <v>628266.60436600016</v>
      </c>
      <c r="I11" s="151">
        <v>1827857.017149999</v>
      </c>
      <c r="J11" s="151">
        <v>391212.33261139982</v>
      </c>
      <c r="K11" s="151">
        <v>458393.41899999999</v>
      </c>
      <c r="L11" s="151">
        <v>50368.315999999999</v>
      </c>
      <c r="M11" s="151">
        <v>566916.27399999998</v>
      </c>
      <c r="N11" s="151">
        <v>73586.164034113914</v>
      </c>
      <c r="O11" s="151">
        <v>2297335.426</v>
      </c>
      <c r="P11" s="151">
        <v>0</v>
      </c>
      <c r="Q11" s="151">
        <f t="shared" si="0"/>
        <v>7273732.8881576564</v>
      </c>
    </row>
    <row r="12" spans="1:18" ht="20.100000000000001" customHeight="1" x14ac:dyDescent="0.2">
      <c r="A12" s="156" t="s">
        <v>67</v>
      </c>
      <c r="B12" s="151"/>
      <c r="C12" s="151"/>
      <c r="D12" s="151"/>
      <c r="E12" s="151"/>
      <c r="F12" s="151"/>
      <c r="G12" s="151"/>
      <c r="H12" s="151"/>
      <c r="I12" s="151"/>
      <c r="J12" s="172"/>
      <c r="K12" s="151"/>
      <c r="L12" s="151"/>
      <c r="M12" s="151"/>
      <c r="N12" s="151"/>
      <c r="O12" s="151"/>
      <c r="P12" s="151"/>
      <c r="Q12" s="151">
        <f t="shared" si="0"/>
        <v>0</v>
      </c>
    </row>
    <row r="13" spans="1:18" ht="20.100000000000001" customHeight="1" x14ac:dyDescent="0.2">
      <c r="A13" s="152" t="s">
        <v>57</v>
      </c>
      <c r="B13" s="151">
        <v>259122.98004000002</v>
      </c>
      <c r="C13" s="151">
        <v>110366.56204265999</v>
      </c>
      <c r="D13" s="151">
        <v>135911.315</v>
      </c>
      <c r="E13" s="151">
        <v>40838.495999999999</v>
      </c>
      <c r="F13" s="151">
        <v>206425.10669238394</v>
      </c>
      <c r="G13" s="151">
        <v>143336.967</v>
      </c>
      <c r="H13" s="151">
        <v>990579.79956000007</v>
      </c>
      <c r="I13" s="151">
        <v>1107270.0819999999</v>
      </c>
      <c r="J13" s="151">
        <v>231499.3739399999</v>
      </c>
      <c r="K13" s="151">
        <v>319993.31900000002</v>
      </c>
      <c r="L13" s="151">
        <v>160469.05499999999</v>
      </c>
      <c r="M13" s="151">
        <v>575085.10699999996</v>
      </c>
      <c r="N13" s="151">
        <v>71042.28290000002</v>
      </c>
      <c r="O13" s="151">
        <v>1575471.4450000001</v>
      </c>
      <c r="P13" s="151">
        <v>33594.635999999999</v>
      </c>
      <c r="Q13" s="151">
        <f t="shared" si="0"/>
        <v>5961006.5271750446</v>
      </c>
    </row>
    <row r="14" spans="1:18" ht="20.100000000000001" customHeight="1" x14ac:dyDescent="0.2">
      <c r="A14" s="152" t="s">
        <v>16</v>
      </c>
      <c r="B14" s="151">
        <v>157363.5496155078</v>
      </c>
      <c r="C14" s="151">
        <v>77918.181345921985</v>
      </c>
      <c r="D14" s="151">
        <v>32710.264999999999</v>
      </c>
      <c r="E14" s="151">
        <v>11060.567279999999</v>
      </c>
      <c r="F14" s="151">
        <v>57594.324519183981</v>
      </c>
      <c r="G14" s="151">
        <v>8662.2980000000007</v>
      </c>
      <c r="H14" s="151">
        <v>671512.56155999971</v>
      </c>
      <c r="I14" s="151">
        <v>103925.989</v>
      </c>
      <c r="J14" s="151">
        <v>390.94732999999997</v>
      </c>
      <c r="K14" s="151">
        <v>53503.004000000001</v>
      </c>
      <c r="L14" s="151">
        <v>137003.76</v>
      </c>
      <c r="M14" s="151">
        <v>259978.092</v>
      </c>
      <c r="N14" s="151">
        <v>36446.76203496677</v>
      </c>
      <c r="O14" s="151">
        <v>122134.61599999999</v>
      </c>
      <c r="P14" s="151">
        <v>33594.635999999999</v>
      </c>
      <c r="Q14" s="151">
        <f t="shared" si="0"/>
        <v>1763799.5536855804</v>
      </c>
    </row>
    <row r="15" spans="1:18" ht="20.100000000000001" customHeight="1" x14ac:dyDescent="0.2">
      <c r="A15" s="152" t="s">
        <v>58</v>
      </c>
      <c r="B15" s="151">
        <v>101759.43042449222</v>
      </c>
      <c r="C15" s="151">
        <v>32448.380696738015</v>
      </c>
      <c r="D15" s="151">
        <v>103201.05</v>
      </c>
      <c r="E15" s="151">
        <v>29777.92872</v>
      </c>
      <c r="F15" s="151">
        <v>148830.78217320004</v>
      </c>
      <c r="G15" s="151">
        <v>134674.66899999999</v>
      </c>
      <c r="H15" s="151">
        <v>319067.23800000001</v>
      </c>
      <c r="I15" s="151">
        <v>1003344.093</v>
      </c>
      <c r="J15" s="151">
        <v>231108.42660999997</v>
      </c>
      <c r="K15" s="151">
        <v>266490.315</v>
      </c>
      <c r="L15" s="151">
        <v>23465.294999999998</v>
      </c>
      <c r="M15" s="151">
        <v>315107.01500000001</v>
      </c>
      <c r="N15" s="151">
        <v>34595.520865033235</v>
      </c>
      <c r="O15" s="151">
        <v>1453336.8289999999</v>
      </c>
      <c r="P15" s="151">
        <v>0</v>
      </c>
      <c r="Q15" s="151">
        <f t="shared" si="0"/>
        <v>4197206.9734894633</v>
      </c>
    </row>
    <row r="16" spans="1:18" ht="20.100000000000001" customHeight="1" x14ac:dyDescent="0.2">
      <c r="A16" s="152" t="s">
        <v>61</v>
      </c>
      <c r="B16" s="151">
        <v>0</v>
      </c>
      <c r="C16" s="151">
        <v>0</v>
      </c>
      <c r="D16" s="151">
        <v>-12231.931</v>
      </c>
      <c r="E16" s="151">
        <v>0</v>
      </c>
      <c r="F16" s="151">
        <v>1427.76198</v>
      </c>
      <c r="G16" s="151">
        <v>0</v>
      </c>
      <c r="H16" s="151">
        <v>-55489.516080926915</v>
      </c>
      <c r="I16" s="151">
        <v>0</v>
      </c>
      <c r="J16" s="151">
        <v>58246.952279999983</v>
      </c>
      <c r="K16" s="151">
        <v>0</v>
      </c>
      <c r="L16" s="151">
        <v>3925.9549999999999</v>
      </c>
      <c r="M16" s="151">
        <v>-22648.205000000002</v>
      </c>
      <c r="N16" s="151">
        <v>1385.1909376219899</v>
      </c>
      <c r="O16" s="151">
        <v>67716.356</v>
      </c>
      <c r="P16" s="151">
        <v>0</v>
      </c>
      <c r="Q16" s="151">
        <f t="shared" si="0"/>
        <v>42332.564116695052</v>
      </c>
    </row>
    <row r="17" spans="1:17" ht="20.100000000000001" customHeight="1" x14ac:dyDescent="0.2">
      <c r="A17" s="152" t="s">
        <v>62</v>
      </c>
      <c r="B17" s="151">
        <v>95929.264351825041</v>
      </c>
      <c r="C17" s="151">
        <v>20943.307000000001</v>
      </c>
      <c r="D17" s="151">
        <v>90969.119000000006</v>
      </c>
      <c r="E17" s="151">
        <v>35932.682529999984</v>
      </c>
      <c r="F17" s="151">
        <v>150258.5441532</v>
      </c>
      <c r="G17" s="151">
        <v>101284.213</v>
      </c>
      <c r="H17" s="151">
        <v>374556.754080927</v>
      </c>
      <c r="I17" s="151">
        <v>985475.37853500014</v>
      </c>
      <c r="J17" s="151">
        <v>289355.37888999999</v>
      </c>
      <c r="K17" s="151">
        <v>291933.52899999998</v>
      </c>
      <c r="L17" s="151">
        <v>27391.25</v>
      </c>
      <c r="M17" s="151">
        <v>337755.22100000002</v>
      </c>
      <c r="N17" s="151">
        <v>33210.329927411251</v>
      </c>
      <c r="O17" s="151">
        <v>1539578.129</v>
      </c>
      <c r="P17" s="151">
        <v>0</v>
      </c>
      <c r="Q17" s="151">
        <f t="shared" si="0"/>
        <v>4374573.1004683636</v>
      </c>
    </row>
    <row r="18" spans="1:17" ht="20.100000000000001" customHeight="1" x14ac:dyDescent="0.2">
      <c r="A18" s="156" t="s">
        <v>68</v>
      </c>
      <c r="B18" s="151"/>
      <c r="C18" s="151"/>
      <c r="D18" s="151"/>
      <c r="E18" s="151"/>
      <c r="F18" s="151"/>
      <c r="G18" s="151"/>
      <c r="H18" s="151"/>
      <c r="I18" s="151"/>
      <c r="J18" s="172"/>
      <c r="K18" s="151"/>
      <c r="L18" s="151"/>
      <c r="M18" s="151"/>
      <c r="N18" s="151"/>
      <c r="O18" s="151"/>
      <c r="P18" s="151"/>
      <c r="Q18" s="151">
        <f t="shared" si="0"/>
        <v>0</v>
      </c>
    </row>
    <row r="19" spans="1:17" ht="20.100000000000001" customHeight="1" x14ac:dyDescent="0.2">
      <c r="A19" s="152" t="s">
        <v>63</v>
      </c>
      <c r="B19" s="151">
        <v>5133.0569999999998</v>
      </c>
      <c r="C19" s="151">
        <v>18758.454553575</v>
      </c>
      <c r="D19" s="151">
        <v>2695.3110000000001</v>
      </c>
      <c r="E19" s="151">
        <v>2073.8870000000002</v>
      </c>
      <c r="F19" s="151">
        <v>26841.521000000001</v>
      </c>
      <c r="G19" s="151">
        <v>14692.049000000001</v>
      </c>
      <c r="H19" s="151">
        <v>97676.377859999993</v>
      </c>
      <c r="I19" s="151">
        <v>137942.76300000001</v>
      </c>
      <c r="J19" s="151">
        <v>2217.5343831999999</v>
      </c>
      <c r="K19" s="151">
        <v>7268.8026</v>
      </c>
      <c r="L19" s="151">
        <v>32734.901999999998</v>
      </c>
      <c r="M19" s="151">
        <v>81828.634999999995</v>
      </c>
      <c r="N19" s="151">
        <v>19168.279460471429</v>
      </c>
      <c r="O19" s="151">
        <v>195288.35699999999</v>
      </c>
      <c r="P19" s="151">
        <v>20567.282999999999</v>
      </c>
      <c r="Q19" s="151">
        <f t="shared" si="0"/>
        <v>664887.21385724645</v>
      </c>
    </row>
    <row r="20" spans="1:17" ht="20.100000000000001" customHeight="1" x14ac:dyDescent="0.2">
      <c r="A20" s="152" t="s">
        <v>64</v>
      </c>
      <c r="B20" s="151">
        <v>20541.924999999999</v>
      </c>
      <c r="C20" s="151">
        <v>440.01089000000002</v>
      </c>
      <c r="D20" s="151">
        <v>8772.1890000000003</v>
      </c>
      <c r="E20" s="151">
        <v>6667.4160000000002</v>
      </c>
      <c r="F20" s="151">
        <v>50859.337</v>
      </c>
      <c r="G20" s="151">
        <v>23909.864000000001</v>
      </c>
      <c r="H20" s="151">
        <v>147693.94174883218</v>
      </c>
      <c r="I20" s="151">
        <v>363612.41800000001</v>
      </c>
      <c r="J20" s="151">
        <v>62651.309099999999</v>
      </c>
      <c r="K20" s="151">
        <v>43632.481</v>
      </c>
      <c r="L20" s="151">
        <v>702.226</v>
      </c>
      <c r="M20" s="151">
        <v>74987.899999999994</v>
      </c>
      <c r="N20" s="151">
        <v>13102.447265897508</v>
      </c>
      <c r="O20" s="151">
        <v>313669.05200000003</v>
      </c>
      <c r="P20" s="151">
        <v>6274.7870000000003</v>
      </c>
      <c r="Q20" s="151">
        <f t="shared" si="0"/>
        <v>1137517.3040047297</v>
      </c>
    </row>
    <row r="21" spans="1:17" ht="20.100000000000001" customHeight="1" x14ac:dyDescent="0.2">
      <c r="A21" s="152" t="s">
        <v>58</v>
      </c>
      <c r="B21" s="151">
        <f>B19-B20</f>
        <v>-15408.867999999999</v>
      </c>
      <c r="C21" s="151">
        <f t="shared" ref="C21:P21" si="1">C19-C20</f>
        <v>18318.443663574999</v>
      </c>
      <c r="D21" s="151">
        <f t="shared" si="1"/>
        <v>-6076.8780000000006</v>
      </c>
      <c r="E21" s="151">
        <v>-4593.5290000000005</v>
      </c>
      <c r="F21" s="151">
        <v>-24017.815999999999</v>
      </c>
      <c r="G21" s="151">
        <f t="shared" si="1"/>
        <v>-9217.8150000000005</v>
      </c>
      <c r="H21" s="151">
        <f t="shared" si="1"/>
        <v>-50017.563888832185</v>
      </c>
      <c r="I21" s="151">
        <v>-225669.655</v>
      </c>
      <c r="J21" s="151">
        <f t="shared" si="1"/>
        <v>-60433.774716799999</v>
      </c>
      <c r="K21" s="151">
        <f t="shared" si="1"/>
        <v>-36363.678399999997</v>
      </c>
      <c r="L21" s="151">
        <f t="shared" si="1"/>
        <v>32032.675999999999</v>
      </c>
      <c r="M21" s="151">
        <f t="shared" si="1"/>
        <v>6840.7350000000006</v>
      </c>
      <c r="N21" s="151">
        <f t="shared" si="1"/>
        <v>6065.8321945739208</v>
      </c>
      <c r="O21" s="151">
        <v>-118380.69500000001</v>
      </c>
      <c r="P21" s="151">
        <f t="shared" si="1"/>
        <v>14292.495999999999</v>
      </c>
      <c r="Q21" s="151">
        <f t="shared" si="0"/>
        <v>-472630.09014748328</v>
      </c>
    </row>
    <row r="22" spans="1:17" ht="20.100000000000001" customHeight="1" x14ac:dyDescent="0.2">
      <c r="A22" s="150" t="s">
        <v>69</v>
      </c>
      <c r="B22" s="151">
        <v>65280.807000000001</v>
      </c>
      <c r="C22" s="151">
        <v>14074.896080000002</v>
      </c>
      <c r="D22" s="151">
        <v>61833.457000000002</v>
      </c>
      <c r="E22" s="151">
        <v>18314.275000000001</v>
      </c>
      <c r="F22" s="151">
        <v>79371.516077172826</v>
      </c>
      <c r="G22" s="151">
        <v>76435.89</v>
      </c>
      <c r="H22" s="151">
        <v>246622.35667849987</v>
      </c>
      <c r="I22" s="151">
        <v>370494.05499999999</v>
      </c>
      <c r="J22" s="151">
        <v>49399.646710000001</v>
      </c>
      <c r="K22" s="151">
        <v>127660.194</v>
      </c>
      <c r="L22" s="151">
        <v>58089.646999999997</v>
      </c>
      <c r="M22" s="151">
        <v>186703.77</v>
      </c>
      <c r="N22" s="151">
        <v>39232.894</v>
      </c>
      <c r="O22" s="151">
        <v>607206.98199999996</v>
      </c>
      <c r="P22" s="151">
        <v>10044.523999999999</v>
      </c>
      <c r="Q22" s="151">
        <f t="shared" si="0"/>
        <v>2010764.9105456725</v>
      </c>
    </row>
    <row r="23" spans="1:17" ht="20.100000000000001" customHeight="1" x14ac:dyDescent="0.2">
      <c r="A23" s="150" t="s">
        <v>70</v>
      </c>
      <c r="B23" s="151">
        <v>22635.588621508323</v>
      </c>
      <c r="C23" s="151">
        <v>5276.6618401656515</v>
      </c>
      <c r="D23" s="151">
        <v>20195.6823</v>
      </c>
      <c r="E23" s="151">
        <v>-4493.0086499999898</v>
      </c>
      <c r="F23" s="151">
        <v>18812.681355846471</v>
      </c>
      <c r="G23" s="151">
        <v>65745.296000000002</v>
      </c>
      <c r="H23" s="151">
        <v>-42930.070282258974</v>
      </c>
      <c r="I23" s="151">
        <v>246217.92861499992</v>
      </c>
      <c r="J23" s="151">
        <v>-7976.4677053999776</v>
      </c>
      <c r="K23" s="151">
        <v>2436.0176000000001</v>
      </c>
      <c r="L23" s="151">
        <v>-3079.9050000000002</v>
      </c>
      <c r="M23" s="151">
        <v>49298.017999999996</v>
      </c>
      <c r="N23" s="151">
        <v>7208.77230127656</v>
      </c>
      <c r="O23" s="151">
        <v>32169.62</v>
      </c>
      <c r="P23" s="151">
        <v>4247.9719999999998</v>
      </c>
      <c r="Q23" s="151">
        <f t="shared" si="0"/>
        <v>415764.78699613799</v>
      </c>
    </row>
    <row r="24" spans="1:17" ht="20.100000000000001" customHeight="1" x14ac:dyDescent="0.2">
      <c r="A24" s="150" t="s">
        <v>71</v>
      </c>
      <c r="B24" s="151">
        <v>5363.9780000000001</v>
      </c>
      <c r="C24" s="151">
        <v>-2740.1210000000001</v>
      </c>
      <c r="D24" s="151">
        <v>18752.323</v>
      </c>
      <c r="E24" s="151">
        <v>4488.7060000000001</v>
      </c>
      <c r="F24" s="151">
        <v>968.82790775423996</v>
      </c>
      <c r="G24" s="151">
        <v>4428.2510000000002</v>
      </c>
      <c r="H24" s="151">
        <v>17652.374039999999</v>
      </c>
      <c r="I24" s="151">
        <v>122840.11199999999</v>
      </c>
      <c r="J24" s="151">
        <v>47929.197999999982</v>
      </c>
      <c r="K24" s="151">
        <v>8902.7479999999996</v>
      </c>
      <c r="L24" s="151">
        <v>0</v>
      </c>
      <c r="M24" s="151">
        <v>41957.53</v>
      </c>
      <c r="N24" s="151">
        <v>35370.758000000002</v>
      </c>
      <c r="O24" s="151">
        <v>155844.82199999999</v>
      </c>
      <c r="P24" s="151">
        <v>65.481999999999999</v>
      </c>
      <c r="Q24" s="151">
        <f t="shared" si="0"/>
        <v>461824.98894775426</v>
      </c>
    </row>
    <row r="25" spans="1:17" ht="20.100000000000001" customHeight="1" x14ac:dyDescent="0.2">
      <c r="A25" s="150" t="s">
        <v>72</v>
      </c>
      <c r="B25" s="151">
        <v>27999.566621508322</v>
      </c>
      <c r="C25" s="151">
        <v>2536.54084016565</v>
      </c>
      <c r="D25" s="151">
        <v>38948.005299999997</v>
      </c>
      <c r="E25" s="151">
        <v>-4.302649999989999</v>
      </c>
      <c r="F25" s="151">
        <v>19781.509263600714</v>
      </c>
      <c r="G25" s="151">
        <v>70173.547000000006</v>
      </c>
      <c r="H25" s="151">
        <v>-25277.696242258971</v>
      </c>
      <c r="I25" s="151">
        <v>369058.04061499989</v>
      </c>
      <c r="J25" s="151">
        <v>39952.73029460002</v>
      </c>
      <c r="K25" s="151">
        <v>11338.765599999999</v>
      </c>
      <c r="L25" s="151">
        <v>-3079.9050000000002</v>
      </c>
      <c r="M25" s="151">
        <v>91255.547999999995</v>
      </c>
      <c r="N25" s="151">
        <v>42579.530301276565</v>
      </c>
      <c r="O25" s="151">
        <v>188014.44200000001</v>
      </c>
      <c r="P25" s="151">
        <v>4313.4539999999997</v>
      </c>
      <c r="Q25" s="151">
        <f t="shared" si="0"/>
        <v>877589.77594389231</v>
      </c>
    </row>
    <row r="26" spans="1:17" ht="20.100000000000001" customHeight="1" x14ac:dyDescent="0.2">
      <c r="A26" s="150" t="s">
        <v>73</v>
      </c>
      <c r="B26" s="151">
        <v>5459.9449999999997</v>
      </c>
      <c r="C26" s="151">
        <v>576.37300000000005</v>
      </c>
      <c r="D26" s="151">
        <v>7767.3879999999999</v>
      </c>
      <c r="E26" s="151">
        <v>1527.05098668499</v>
      </c>
      <c r="F26" s="151">
        <v>2598.7959999999998</v>
      </c>
      <c r="G26" s="151">
        <v>4002.8009999999999</v>
      </c>
      <c r="H26" s="151">
        <v>-8006.8334299999997</v>
      </c>
      <c r="I26" s="151">
        <v>38247.118000000002</v>
      </c>
      <c r="J26" s="151">
        <v>0</v>
      </c>
      <c r="K26" s="151">
        <v>0</v>
      </c>
      <c r="L26" s="151">
        <v>0</v>
      </c>
      <c r="M26" s="151">
        <v>5413.98</v>
      </c>
      <c r="N26" s="151">
        <v>6682.5555000000004</v>
      </c>
      <c r="O26" s="151">
        <v>0</v>
      </c>
      <c r="P26" s="151">
        <v>483.327</v>
      </c>
      <c r="Q26" s="151">
        <f t="shared" si="0"/>
        <v>64752.501056684989</v>
      </c>
    </row>
    <row r="27" spans="1:17" ht="14.25" x14ac:dyDescent="0.2">
      <c r="A27" s="15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14.25" x14ac:dyDescent="0.2">
      <c r="A28" s="153" t="s">
        <v>87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14.25" x14ac:dyDescent="0.2">
      <c r="A29" s="169" t="s">
        <v>88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1" spans="1:17" x14ac:dyDescent="0.2">
      <c r="E31" s="151"/>
    </row>
  </sheetData>
  <mergeCells count="3">
    <mergeCell ref="A2:Q2"/>
    <mergeCell ref="A3:Q3"/>
    <mergeCell ref="A4:Q4"/>
  </mergeCells>
  <pageMargins left="0.7" right="0.7" top="0.75" bottom="0.75" header="0.3" footer="0.3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:Q4"/>
    </sheetView>
  </sheetViews>
  <sheetFormatPr defaultRowHeight="12.75" x14ac:dyDescent="0.2"/>
  <cols>
    <col min="1" max="1" width="54.28515625" bestFit="1" customWidth="1"/>
    <col min="2" max="3" width="11.42578125" customWidth="1"/>
    <col min="4" max="4" width="12.28515625" customWidth="1"/>
    <col min="6" max="7" width="10.28515625" bestFit="1" customWidth="1"/>
    <col min="8" max="9" width="12.140625" bestFit="1" customWidth="1"/>
    <col min="10" max="11" width="10.28515625" bestFit="1" customWidth="1"/>
    <col min="12" max="12" width="10.85546875" bestFit="1" customWidth="1"/>
    <col min="13" max="14" width="10.28515625" bestFit="1" customWidth="1"/>
    <col min="15" max="15" width="12.140625" bestFit="1" customWidth="1"/>
    <col min="16" max="16" width="14.28515625" customWidth="1"/>
    <col min="17" max="17" width="15.5703125" bestFit="1" customWidth="1"/>
  </cols>
  <sheetData>
    <row r="1" spans="1:17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5.75" x14ac:dyDescent="0.25">
      <c r="A3" s="174" t="s">
        <v>96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4.25" customHeight="1" x14ac:dyDescent="0.2">
      <c r="A4" s="175" t="s">
        <v>37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s="3" customFormat="1" ht="37.5" customHeight="1" x14ac:dyDescent="0.2">
      <c r="A5" s="147"/>
      <c r="B5" s="148" t="s">
        <v>95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89</v>
      </c>
      <c r="M5" s="148" t="s">
        <v>10</v>
      </c>
      <c r="N5" s="148" t="s">
        <v>11</v>
      </c>
      <c r="O5" s="148" t="s">
        <v>12</v>
      </c>
      <c r="P5" s="155" t="s">
        <v>90</v>
      </c>
      <c r="Q5" s="149" t="s">
        <v>13</v>
      </c>
    </row>
    <row r="6" spans="1:17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7" ht="20.100000000000001" customHeight="1" x14ac:dyDescent="0.2">
      <c r="A7" s="152" t="s">
        <v>57</v>
      </c>
      <c r="B7" s="151">
        <v>324532.15999999997</v>
      </c>
      <c r="C7" s="151">
        <v>58436.682000000001</v>
      </c>
      <c r="D7" s="151">
        <v>190577.38099999999</v>
      </c>
      <c r="E7" s="151">
        <v>68356.232799999998</v>
      </c>
      <c r="F7" s="151">
        <v>374448.223</v>
      </c>
      <c r="G7" s="151">
        <v>265586.47899999999</v>
      </c>
      <c r="H7" s="151">
        <v>1248967.7590000001</v>
      </c>
      <c r="I7" s="151">
        <v>2349606.2748649986</v>
      </c>
      <c r="J7" s="151">
        <v>434022.47538999998</v>
      </c>
      <c r="K7" s="151">
        <v>469808.76500000001</v>
      </c>
      <c r="L7" s="151">
        <v>125599.59940000001</v>
      </c>
      <c r="M7" s="151">
        <v>1053353.6429999999</v>
      </c>
      <c r="N7" s="151">
        <v>124997.03315390713</v>
      </c>
      <c r="O7" s="151">
        <v>3060119.5189999999</v>
      </c>
      <c r="P7" s="151">
        <v>143967.33499999999</v>
      </c>
      <c r="Q7" s="151">
        <f>SUM(B7:P7)</f>
        <v>10292379.561608907</v>
      </c>
    </row>
    <row r="8" spans="1:17" ht="20.100000000000001" customHeight="1" x14ac:dyDescent="0.2">
      <c r="A8" s="152" t="s">
        <v>16</v>
      </c>
      <c r="B8" s="151">
        <v>128322.711</v>
      </c>
      <c r="C8" s="151">
        <v>43700.218000000001</v>
      </c>
      <c r="D8" s="151">
        <v>11681.308999999999</v>
      </c>
      <c r="E8" s="151">
        <v>13976.949500000001</v>
      </c>
      <c r="F8" s="151">
        <v>90833.535999999993</v>
      </c>
      <c r="G8" s="151">
        <v>24802.330999999998</v>
      </c>
      <c r="H8" s="151">
        <v>625578.78</v>
      </c>
      <c r="I8" s="151">
        <v>554060.63557999965</v>
      </c>
      <c r="J8" s="151">
        <v>60330.78658</v>
      </c>
      <c r="K8" s="151">
        <v>29430.294999999998</v>
      </c>
      <c r="L8" s="151">
        <v>74921.492349999986</v>
      </c>
      <c r="M8" s="151">
        <v>545575.38300000003</v>
      </c>
      <c r="N8" s="151">
        <v>47352.986148089214</v>
      </c>
      <c r="O8" s="151">
        <v>1344682.8375900006</v>
      </c>
      <c r="P8" s="151">
        <v>0</v>
      </c>
      <c r="Q8" s="151">
        <f t="shared" ref="Q8:Q26" si="0">SUM(B8:P8)</f>
        <v>3595250.2507480895</v>
      </c>
    </row>
    <row r="9" spans="1:17" ht="20.100000000000001" customHeight="1" x14ac:dyDescent="0.2">
      <c r="A9" s="152" t="s">
        <v>58</v>
      </c>
      <c r="B9" s="151">
        <v>196209.44899999999</v>
      </c>
      <c r="C9" s="151">
        <v>14736.464</v>
      </c>
      <c r="D9" s="151">
        <v>178896.07199999999</v>
      </c>
      <c r="E9" s="151">
        <v>54379.283299999996</v>
      </c>
      <c r="F9" s="151">
        <v>283614.68699999998</v>
      </c>
      <c r="G9" s="151">
        <v>240784.14799999999</v>
      </c>
      <c r="H9" s="151">
        <v>623388.97900000005</v>
      </c>
      <c r="I9" s="151">
        <v>1795545.6392849998</v>
      </c>
      <c r="J9" s="151">
        <v>373691.68880999985</v>
      </c>
      <c r="K9" s="151">
        <v>440378.47</v>
      </c>
      <c r="L9" s="151">
        <v>50678.107049999999</v>
      </c>
      <c r="M9" s="151">
        <v>507778.26</v>
      </c>
      <c r="N9" s="151">
        <v>77644.04700581792</v>
      </c>
      <c r="O9" s="151">
        <v>1715436.6814099993</v>
      </c>
      <c r="P9" s="151">
        <v>143967.33499999999</v>
      </c>
      <c r="Q9" s="151">
        <f t="shared" si="0"/>
        <v>6697129.3108608173</v>
      </c>
    </row>
    <row r="10" spans="1:17" ht="20.100000000000001" customHeight="1" x14ac:dyDescent="0.2">
      <c r="A10" s="152" t="s">
        <v>59</v>
      </c>
      <c r="B10" s="151">
        <v>-31057.530999999999</v>
      </c>
      <c r="C10" s="151">
        <v>246.72</v>
      </c>
      <c r="D10" s="151">
        <v>-269.13</v>
      </c>
      <c r="E10" s="151">
        <v>5152.1670000000004</v>
      </c>
      <c r="F10" s="151">
        <v>0</v>
      </c>
      <c r="G10" s="151">
        <v>0</v>
      </c>
      <c r="H10" s="151">
        <v>26462.841</v>
      </c>
      <c r="I10" s="151">
        <v>0</v>
      </c>
      <c r="J10" s="151">
        <v>21941.502410000001</v>
      </c>
      <c r="K10" s="151">
        <v>0</v>
      </c>
      <c r="L10" s="151">
        <v>-1071.5430900000001</v>
      </c>
      <c r="M10" s="151">
        <v>0</v>
      </c>
      <c r="N10" s="151">
        <v>-3009.2333181833505</v>
      </c>
      <c r="O10" s="151">
        <v>0</v>
      </c>
      <c r="P10" s="151">
        <v>0</v>
      </c>
      <c r="Q10" s="151">
        <f t="shared" si="0"/>
        <v>18395.793001816655</v>
      </c>
    </row>
    <row r="11" spans="1:17" ht="20.100000000000001" customHeight="1" x14ac:dyDescent="0.2">
      <c r="A11" s="152" t="s">
        <v>60</v>
      </c>
      <c r="B11" s="151">
        <v>165151.91800000001</v>
      </c>
      <c r="C11" s="151">
        <v>14983.183999999999</v>
      </c>
      <c r="D11" s="151">
        <v>178626.94200000001</v>
      </c>
      <c r="E11" s="151">
        <v>49227.116299999994</v>
      </c>
      <c r="F11" s="151">
        <v>276479.10499999998</v>
      </c>
      <c r="G11" s="151">
        <v>239246.10200000001</v>
      </c>
      <c r="H11" s="151">
        <v>596926.13800000004</v>
      </c>
      <c r="I11" s="151">
        <v>1752096.1207049999</v>
      </c>
      <c r="J11" s="151">
        <v>351750.18639999983</v>
      </c>
      <c r="K11" s="151">
        <v>422269.05300000001</v>
      </c>
      <c r="L11" s="151">
        <v>49606.564959999982</v>
      </c>
      <c r="M11" s="151">
        <v>469485.772</v>
      </c>
      <c r="N11" s="151">
        <v>74634.813687634552</v>
      </c>
      <c r="O11" s="151">
        <v>1667035.8034099995</v>
      </c>
      <c r="P11" s="151">
        <v>0</v>
      </c>
      <c r="Q11" s="151">
        <f t="shared" si="0"/>
        <v>6307518.8194626337</v>
      </c>
    </row>
    <row r="12" spans="1:17" ht="20.100000000000001" customHeight="1" x14ac:dyDescent="0.2">
      <c r="A12" s="156" t="s">
        <v>67</v>
      </c>
      <c r="B12" s="151"/>
      <c r="C12" s="151"/>
      <c r="D12" s="151"/>
      <c r="E12" s="151"/>
      <c r="F12" s="151"/>
      <c r="G12" s="151"/>
      <c r="H12" s="151"/>
      <c r="I12" s="151"/>
      <c r="J12" s="172"/>
      <c r="K12" s="151"/>
      <c r="L12" s="151"/>
      <c r="M12" s="151"/>
      <c r="N12" s="151"/>
      <c r="O12" s="151"/>
      <c r="P12" s="151"/>
      <c r="Q12" s="151">
        <f t="shared" si="0"/>
        <v>0</v>
      </c>
    </row>
    <row r="13" spans="1:17" ht="20.100000000000001" customHeight="1" x14ac:dyDescent="0.2">
      <c r="A13" s="152" t="s">
        <v>57</v>
      </c>
      <c r="B13" s="151">
        <v>243940.98674999992</v>
      </c>
      <c r="C13" s="151">
        <v>28560.850999999999</v>
      </c>
      <c r="D13" s="151">
        <v>153687.364</v>
      </c>
      <c r="E13" s="151">
        <v>56066.697399999997</v>
      </c>
      <c r="F13" s="151">
        <v>198876.58799999999</v>
      </c>
      <c r="G13" s="151">
        <v>199886.94</v>
      </c>
      <c r="H13" s="151">
        <v>454639.70500000002</v>
      </c>
      <c r="I13" s="151">
        <v>1181237.4005050005</v>
      </c>
      <c r="J13" s="151">
        <v>214061.3022200001</v>
      </c>
      <c r="K13" s="151">
        <v>312732.65600000002</v>
      </c>
      <c r="L13" s="151">
        <v>102560.617</v>
      </c>
      <c r="M13" s="151">
        <v>619150.31999999995</v>
      </c>
      <c r="N13" s="151">
        <v>58850.970670000002</v>
      </c>
      <c r="O13" s="151">
        <v>1929740.7949999999</v>
      </c>
      <c r="P13" s="151">
        <v>0</v>
      </c>
      <c r="Q13" s="151">
        <f t="shared" si="0"/>
        <v>5753993.1935450006</v>
      </c>
    </row>
    <row r="14" spans="1:17" ht="20.100000000000001" customHeight="1" x14ac:dyDescent="0.2">
      <c r="A14" s="152" t="s">
        <v>16</v>
      </c>
      <c r="B14" s="151">
        <v>184465.21299999999</v>
      </c>
      <c r="C14" s="151">
        <v>21543.620999999999</v>
      </c>
      <c r="D14" s="151">
        <v>38995.491999999998</v>
      </c>
      <c r="E14" s="151">
        <v>21797.372500000001</v>
      </c>
      <c r="F14" s="151">
        <v>30391.110681477367</v>
      </c>
      <c r="G14" s="151">
        <v>47687.862999999998</v>
      </c>
      <c r="H14" s="151">
        <v>149788.38500000001</v>
      </c>
      <c r="I14" s="151">
        <v>97313.100185000003</v>
      </c>
      <c r="J14" s="151">
        <v>635.44955999999991</v>
      </c>
      <c r="K14" s="151">
        <v>50587.81</v>
      </c>
      <c r="L14" s="151">
        <v>81606.235000000001</v>
      </c>
      <c r="M14" s="151">
        <v>321496.38500000001</v>
      </c>
      <c r="N14" s="151">
        <v>8304.2544392885993</v>
      </c>
      <c r="O14" s="151">
        <v>786002.91899999999</v>
      </c>
      <c r="P14" s="151">
        <v>0</v>
      </c>
      <c r="Q14" s="151">
        <f t="shared" si="0"/>
        <v>1840615.210365766</v>
      </c>
    </row>
    <row r="15" spans="1:17" ht="20.100000000000001" customHeight="1" x14ac:dyDescent="0.2">
      <c r="A15" s="152" t="s">
        <v>58</v>
      </c>
      <c r="B15" s="151">
        <v>59475.773749999978</v>
      </c>
      <c r="C15" s="151">
        <v>7017.23</v>
      </c>
      <c r="D15" s="151">
        <v>114691.872</v>
      </c>
      <c r="E15" s="151">
        <v>34269.3249</v>
      </c>
      <c r="F15" s="151">
        <v>168485.47731852264</v>
      </c>
      <c r="G15" s="151">
        <v>152199.07699999999</v>
      </c>
      <c r="H15" s="151">
        <v>304851.32</v>
      </c>
      <c r="I15" s="151">
        <v>1083924.3003199997</v>
      </c>
      <c r="J15" s="151">
        <v>213425.85266</v>
      </c>
      <c r="K15" s="151">
        <v>262144.84600000002</v>
      </c>
      <c r="L15" s="151">
        <v>20954.382000000001</v>
      </c>
      <c r="M15" s="151">
        <v>297653.935</v>
      </c>
      <c r="N15" s="151">
        <v>50546.716230711412</v>
      </c>
      <c r="O15" s="151">
        <v>1143737.8759999999</v>
      </c>
      <c r="P15" s="151">
        <v>0</v>
      </c>
      <c r="Q15" s="151">
        <f t="shared" si="0"/>
        <v>3913377.983179234</v>
      </c>
    </row>
    <row r="16" spans="1:17" ht="20.100000000000001" customHeight="1" x14ac:dyDescent="0.2">
      <c r="A16" s="152" t="s">
        <v>61</v>
      </c>
      <c r="B16" s="151">
        <v>10863.748340860609</v>
      </c>
      <c r="C16" s="151">
        <v>-13060.64</v>
      </c>
      <c r="D16" s="151">
        <v>-3925.6149999999998</v>
      </c>
      <c r="E16" s="151">
        <v>-2062.3890000000001</v>
      </c>
      <c r="F16" s="151">
        <v>0</v>
      </c>
      <c r="G16" s="151">
        <v>0</v>
      </c>
      <c r="H16" s="151">
        <v>112539.541</v>
      </c>
      <c r="I16" s="151">
        <v>0</v>
      </c>
      <c r="J16" s="151">
        <v>10515.428250000001</v>
      </c>
      <c r="K16" s="151">
        <v>0</v>
      </c>
      <c r="L16" s="151">
        <v>16565.46891</v>
      </c>
      <c r="M16" s="151">
        <v>0</v>
      </c>
      <c r="N16" s="151">
        <v>-4289.0125667343791</v>
      </c>
      <c r="O16" s="151">
        <v>-10337.96624926101</v>
      </c>
      <c r="P16" s="151">
        <v>0</v>
      </c>
      <c r="Q16" s="151">
        <f t="shared" si="0"/>
        <v>116808.56368486522</v>
      </c>
    </row>
    <row r="17" spans="1:17" ht="20.100000000000001" customHeight="1" x14ac:dyDescent="0.2">
      <c r="A17" s="152" t="s">
        <v>62</v>
      </c>
      <c r="B17" s="151">
        <v>70339.522090860613</v>
      </c>
      <c r="C17" s="151">
        <v>20077.87</v>
      </c>
      <c r="D17" s="151">
        <v>110766.257</v>
      </c>
      <c r="E17" s="151">
        <v>32206.935899999997</v>
      </c>
      <c r="F17" s="151">
        <v>181127.74831852264</v>
      </c>
      <c r="G17" s="151">
        <v>155512.73800000001</v>
      </c>
      <c r="H17" s="151">
        <v>417390.86099999998</v>
      </c>
      <c r="I17" s="151">
        <v>1033650.029895</v>
      </c>
      <c r="J17" s="151">
        <v>223941.28091000009</v>
      </c>
      <c r="K17" s="151">
        <v>271388.853</v>
      </c>
      <c r="L17" s="151">
        <v>37519.850910000001</v>
      </c>
      <c r="M17" s="151">
        <v>286023.61200000002</v>
      </c>
      <c r="N17" s="151">
        <v>46257.703663977038</v>
      </c>
      <c r="O17" s="151">
        <v>1123000.1724653384</v>
      </c>
      <c r="P17" s="151">
        <v>0</v>
      </c>
      <c r="Q17" s="151">
        <f t="shared" si="0"/>
        <v>4009203.435153699</v>
      </c>
    </row>
    <row r="18" spans="1:17" ht="20.100000000000001" customHeight="1" x14ac:dyDescent="0.2">
      <c r="A18" s="156" t="s">
        <v>68</v>
      </c>
      <c r="B18" s="151"/>
      <c r="C18" s="151"/>
      <c r="D18" s="151"/>
      <c r="E18" s="151"/>
      <c r="F18" s="151"/>
      <c r="G18" s="151"/>
      <c r="H18" s="151"/>
      <c r="I18" s="151"/>
      <c r="J18" s="172"/>
      <c r="K18" s="151"/>
      <c r="L18" s="151"/>
      <c r="M18" s="151"/>
      <c r="N18" s="151"/>
      <c r="O18" s="151"/>
      <c r="P18" s="151"/>
      <c r="Q18" s="151">
        <f t="shared" si="0"/>
        <v>0</v>
      </c>
    </row>
    <row r="19" spans="1:17" ht="20.100000000000001" customHeight="1" x14ac:dyDescent="0.2">
      <c r="A19" s="152" t="s">
        <v>63</v>
      </c>
      <c r="B19" s="151">
        <v>3686.1320000000001</v>
      </c>
      <c r="C19" s="151">
        <v>12988.477999999999</v>
      </c>
      <c r="D19" s="151">
        <v>2329.1559999999999</v>
      </c>
      <c r="E19" s="151">
        <v>1887.239</v>
      </c>
      <c r="F19" s="151">
        <v>25492.333999999999</v>
      </c>
      <c r="G19" s="151">
        <v>3207.9380000000001</v>
      </c>
      <c r="H19" s="151">
        <v>84497.721000000005</v>
      </c>
      <c r="I19" s="151">
        <v>143337.60615999994</v>
      </c>
      <c r="J19" s="151">
        <v>10160.529699999999</v>
      </c>
      <c r="K19" s="151">
        <v>7233.3850000000002</v>
      </c>
      <c r="L19" s="151">
        <v>13276.108914298491</v>
      </c>
      <c r="M19" s="151">
        <v>63258.071000000004</v>
      </c>
      <c r="N19" s="151">
        <v>7378.2499690430586</v>
      </c>
      <c r="O19" s="151">
        <v>310227.69500000001</v>
      </c>
      <c r="P19" s="151">
        <v>16656.063999999998</v>
      </c>
      <c r="Q19" s="151">
        <f t="shared" si="0"/>
        <v>705616.70774334157</v>
      </c>
    </row>
    <row r="20" spans="1:17" ht="20.100000000000001" customHeight="1" x14ac:dyDescent="0.2">
      <c r="A20" s="152" t="s">
        <v>64</v>
      </c>
      <c r="B20" s="151">
        <v>17742.61607</v>
      </c>
      <c r="C20" s="151">
        <v>837.55700000000002</v>
      </c>
      <c r="D20" s="151">
        <v>8173.1646000000001</v>
      </c>
      <c r="E20" s="151">
        <v>5585.6220000000003</v>
      </c>
      <c r="F20" s="151">
        <v>47209.798999999999</v>
      </c>
      <c r="G20" s="151">
        <v>24188.560000000001</v>
      </c>
      <c r="H20" s="151">
        <v>134803.51999999999</v>
      </c>
      <c r="I20" s="151">
        <v>355725.47944500018</v>
      </c>
      <c r="J20" s="151">
        <v>56906.248410000007</v>
      </c>
      <c r="K20" s="151">
        <v>41783.031999999999</v>
      </c>
      <c r="L20" s="151">
        <v>315.55700000000002</v>
      </c>
      <c r="M20" s="151">
        <v>54824.639999999999</v>
      </c>
      <c r="N20" s="151">
        <v>12788.227270000019</v>
      </c>
      <c r="O20" s="151">
        <v>251688.70880000002</v>
      </c>
      <c r="P20" s="151">
        <v>4453.8360000000002</v>
      </c>
      <c r="Q20" s="151">
        <f t="shared" si="0"/>
        <v>1017026.5675950003</v>
      </c>
    </row>
    <row r="21" spans="1:17" ht="20.100000000000001" customHeight="1" x14ac:dyDescent="0.2">
      <c r="A21" s="152" t="s">
        <v>58</v>
      </c>
      <c r="B21" s="151">
        <v>-14056.484069999999</v>
      </c>
      <c r="C21" s="151">
        <v>12150.921</v>
      </c>
      <c r="D21" s="151">
        <v>-5844.0085999999992</v>
      </c>
      <c r="E21" s="151">
        <v>-3698.3829999999998</v>
      </c>
      <c r="F21" s="151">
        <v>-21717.465</v>
      </c>
      <c r="G21" s="151">
        <v>-20980.621999999999</v>
      </c>
      <c r="H21" s="151">
        <v>-50305.798999999999</v>
      </c>
      <c r="I21" s="151">
        <v>-212387.8732850001</v>
      </c>
      <c r="J21" s="151">
        <v>-46745.718710000023</v>
      </c>
      <c r="K21" s="151">
        <v>-34549.646999999997</v>
      </c>
      <c r="L21" s="151">
        <v>12960.551914298492</v>
      </c>
      <c r="M21" s="151">
        <v>8433.4310000000005</v>
      </c>
      <c r="N21" s="151">
        <v>-5409.9773009569599</v>
      </c>
      <c r="O21" s="151">
        <v>58538.98619999997</v>
      </c>
      <c r="P21" s="151">
        <v>12202.227999999999</v>
      </c>
      <c r="Q21" s="151">
        <f t="shared" si="0"/>
        <v>-311409.85985165864</v>
      </c>
    </row>
    <row r="22" spans="1:17" ht="20.100000000000001" customHeight="1" x14ac:dyDescent="0.2">
      <c r="A22" s="150" t="s">
        <v>69</v>
      </c>
      <c r="B22" s="151">
        <v>56806.764999999999</v>
      </c>
      <c r="C22" s="151">
        <v>15245.3</v>
      </c>
      <c r="D22" s="151">
        <v>54863.684999999998</v>
      </c>
      <c r="E22" s="151">
        <v>16845.857</v>
      </c>
      <c r="F22" s="151">
        <v>67407.599000000002</v>
      </c>
      <c r="G22" s="151">
        <v>69748.755000000005</v>
      </c>
      <c r="H22" s="151">
        <v>178559.28899999999</v>
      </c>
      <c r="I22" s="151">
        <v>369750.07400000002</v>
      </c>
      <c r="J22" s="151">
        <v>45855.326148699998</v>
      </c>
      <c r="K22" s="151">
        <v>123697.26700000001</v>
      </c>
      <c r="L22" s="151">
        <v>53240.009987542464</v>
      </c>
      <c r="M22" s="151">
        <v>175375.78599999999</v>
      </c>
      <c r="N22" s="151">
        <v>37513.013770800084</v>
      </c>
      <c r="O22" s="151">
        <v>527462.0414799999</v>
      </c>
      <c r="P22" s="151">
        <v>7783.0860000000002</v>
      </c>
      <c r="Q22" s="151">
        <f t="shared" si="0"/>
        <v>1800153.8543870423</v>
      </c>
    </row>
    <row r="23" spans="1:17" ht="20.100000000000001" customHeight="1" x14ac:dyDescent="0.2">
      <c r="A23" s="150" t="s">
        <v>70</v>
      </c>
      <c r="B23" s="151">
        <v>23949.146839139394</v>
      </c>
      <c r="C23" s="151">
        <v>-8189.0649999999996</v>
      </c>
      <c r="D23" s="151">
        <v>7152.9914000000008</v>
      </c>
      <c r="E23" s="151">
        <v>-3524.0596</v>
      </c>
      <c r="F23" s="151">
        <v>6226.29268147737</v>
      </c>
      <c r="G23" s="151">
        <v>-6996.0129999999999</v>
      </c>
      <c r="H23" s="151">
        <v>-49329.811000000002</v>
      </c>
      <c r="I23" s="151">
        <v>136308.14352500014</v>
      </c>
      <c r="J23" s="151">
        <v>35207.86063129994</v>
      </c>
      <c r="K23" s="151">
        <v>-7366.7139999999999</v>
      </c>
      <c r="L23" s="151">
        <v>-28192.744023243988</v>
      </c>
      <c r="M23" s="151">
        <v>16519.805</v>
      </c>
      <c r="N23" s="151">
        <v>-14545.881048099518</v>
      </c>
      <c r="O23" s="151">
        <v>75112.575664660966</v>
      </c>
      <c r="P23" s="151">
        <v>4419.1419999999998</v>
      </c>
      <c r="Q23" s="151">
        <f t="shared" si="0"/>
        <v>186751.67007023428</v>
      </c>
    </row>
    <row r="24" spans="1:17" ht="20.100000000000001" customHeight="1" x14ac:dyDescent="0.2">
      <c r="A24" s="150" t="s">
        <v>71</v>
      </c>
      <c r="B24" s="151">
        <v>2243.10419</v>
      </c>
      <c r="C24" s="151">
        <v>2883.0439999999999</v>
      </c>
      <c r="D24" s="151">
        <v>21101.885999999999</v>
      </c>
      <c r="E24" s="151">
        <v>7551.15</v>
      </c>
      <c r="F24" s="151">
        <v>718.53800000000001</v>
      </c>
      <c r="G24" s="151">
        <v>3808.7469999999998</v>
      </c>
      <c r="H24" s="151">
        <v>34261.758000000002</v>
      </c>
      <c r="I24" s="151">
        <v>149296.57</v>
      </c>
      <c r="J24" s="151">
        <v>43618.776109999999</v>
      </c>
      <c r="K24" s="151">
        <v>9277.4940000000006</v>
      </c>
      <c r="L24" s="151">
        <v>1151.115</v>
      </c>
      <c r="M24" s="151">
        <v>41601.163</v>
      </c>
      <c r="N24" s="151">
        <v>51976.839779333182</v>
      </c>
      <c r="O24" s="151">
        <v>171690.09403000001</v>
      </c>
      <c r="P24" s="151">
        <v>622.21050000000002</v>
      </c>
      <c r="Q24" s="151">
        <f t="shared" si="0"/>
        <v>541802.48960933322</v>
      </c>
    </row>
    <row r="25" spans="1:17" ht="20.100000000000001" customHeight="1" x14ac:dyDescent="0.2">
      <c r="A25" s="150" t="s">
        <v>72</v>
      </c>
      <c r="B25" s="151">
        <v>26192.251029139392</v>
      </c>
      <c r="C25" s="151">
        <v>-5306.0209999999997</v>
      </c>
      <c r="D25" s="151">
        <v>28254.877399999998</v>
      </c>
      <c r="E25" s="151">
        <v>4027.0904</v>
      </c>
      <c r="F25" s="151">
        <v>6944.8306814773705</v>
      </c>
      <c r="G25" s="151">
        <v>-3187.2660000000001</v>
      </c>
      <c r="H25" s="151">
        <v>-15068.053</v>
      </c>
      <c r="I25" s="151">
        <v>285604.71352500009</v>
      </c>
      <c r="J25" s="151">
        <v>78826.636741299939</v>
      </c>
      <c r="K25" s="151">
        <v>1910.78</v>
      </c>
      <c r="L25" s="151">
        <v>-27041.629023243993</v>
      </c>
      <c r="M25" s="151">
        <v>58120.968000000001</v>
      </c>
      <c r="N25" s="151">
        <v>37430.958731233673</v>
      </c>
      <c r="O25" s="151">
        <v>246802.66969466096</v>
      </c>
      <c r="P25" s="151">
        <v>5041.3525</v>
      </c>
      <c r="Q25" s="151">
        <f t="shared" si="0"/>
        <v>728554.15967956756</v>
      </c>
    </row>
    <row r="26" spans="1:17" ht="20.100000000000001" customHeight="1" x14ac:dyDescent="0.2">
      <c r="A26" s="150" t="s">
        <v>73</v>
      </c>
      <c r="B26" s="151">
        <v>4540.2849999999999</v>
      </c>
      <c r="C26" s="151">
        <v>-1735.4680000000001</v>
      </c>
      <c r="D26" s="151">
        <v>1571.7940000000001</v>
      </c>
      <c r="E26" s="151">
        <v>0</v>
      </c>
      <c r="F26" s="151">
        <v>1518.636</v>
      </c>
      <c r="G26" s="151">
        <v>0</v>
      </c>
      <c r="H26" s="151">
        <v>2318</v>
      </c>
      <c r="I26" s="151">
        <v>20087.874</v>
      </c>
      <c r="J26" s="151">
        <v>0</v>
      </c>
      <c r="K26" s="151">
        <v>0</v>
      </c>
      <c r="L26" s="151">
        <v>0</v>
      </c>
      <c r="M26" s="151">
        <v>0</v>
      </c>
      <c r="N26" s="151">
        <v>2992.4794293715008</v>
      </c>
      <c r="O26" s="151">
        <v>19958.94169</v>
      </c>
      <c r="P26" s="151">
        <v>0</v>
      </c>
      <c r="Q26" s="151">
        <f t="shared" si="0"/>
        <v>51252.542119371501</v>
      </c>
    </row>
    <row r="27" spans="1:17" ht="14.25" x14ac:dyDescent="0.2">
      <c r="A27" s="15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14.25" x14ac:dyDescent="0.2">
      <c r="A28" s="153" t="s">
        <v>87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14.25" x14ac:dyDescent="0.2">
      <c r="A29" s="169" t="s">
        <v>88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</sheetData>
  <mergeCells count="3">
    <mergeCell ref="A2:Q2"/>
    <mergeCell ref="A3:Q3"/>
    <mergeCell ref="A4:Q4"/>
  </mergeCells>
  <pageMargins left="0.7" right="0.7" top="0.75" bottom="0.75" header="0.3" footer="0.3"/>
  <pageSetup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2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:Q4"/>
    </sheetView>
  </sheetViews>
  <sheetFormatPr defaultRowHeight="12.75" x14ac:dyDescent="0.2"/>
  <cols>
    <col min="1" max="1" width="54.28515625" bestFit="1" customWidth="1"/>
    <col min="2" max="3" width="11.42578125" customWidth="1"/>
    <col min="4" max="4" width="12.28515625" customWidth="1"/>
    <col min="6" max="7" width="10.28515625" bestFit="1" customWidth="1"/>
    <col min="8" max="9" width="12.140625" bestFit="1" customWidth="1"/>
    <col min="10" max="11" width="10.28515625" bestFit="1" customWidth="1"/>
    <col min="12" max="12" width="10.85546875" bestFit="1" customWidth="1"/>
    <col min="13" max="14" width="10.28515625" bestFit="1" customWidth="1"/>
    <col min="15" max="15" width="12.140625" bestFit="1" customWidth="1"/>
    <col min="16" max="16" width="14.28515625" customWidth="1"/>
    <col min="17" max="17" width="15.5703125" bestFit="1" customWidth="1"/>
  </cols>
  <sheetData>
    <row r="1" spans="1:17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5.75" x14ac:dyDescent="0.25">
      <c r="A3" s="174" t="s">
        <v>94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4.25" customHeight="1" x14ac:dyDescent="0.2">
      <c r="A4" s="175" t="s">
        <v>37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s="3" customFormat="1" ht="37.5" customHeight="1" x14ac:dyDescent="0.2">
      <c r="A5" s="147"/>
      <c r="B5" s="148" t="s">
        <v>95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89</v>
      </c>
      <c r="M5" s="148" t="s">
        <v>10</v>
      </c>
      <c r="N5" s="148" t="s">
        <v>11</v>
      </c>
      <c r="O5" s="148" t="s">
        <v>12</v>
      </c>
      <c r="P5" s="155" t="s">
        <v>90</v>
      </c>
      <c r="Q5" s="149" t="s">
        <v>13</v>
      </c>
    </row>
    <row r="6" spans="1:17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7" ht="20.100000000000001" customHeight="1" x14ac:dyDescent="0.2">
      <c r="A7" s="152" t="s">
        <v>57</v>
      </c>
      <c r="B7" s="151">
        <v>241617.674</v>
      </c>
      <c r="C7" s="151">
        <v>52928.601000000002</v>
      </c>
      <c r="D7" s="151">
        <v>188664.78400000001</v>
      </c>
      <c r="E7" s="151">
        <v>58899.344479999985</v>
      </c>
      <c r="F7" s="151">
        <v>354055.28827649989</v>
      </c>
      <c r="G7" s="151">
        <v>242892.486</v>
      </c>
      <c r="H7" s="151">
        <v>1148200.8006985474</v>
      </c>
      <c r="I7" s="151">
        <v>2252827.0809999998</v>
      </c>
      <c r="J7" s="151">
        <v>411765.39198000001</v>
      </c>
      <c r="K7" s="151">
        <v>418278.43142999982</v>
      </c>
      <c r="L7" s="151">
        <v>82776.353409999967</v>
      </c>
      <c r="M7" s="151">
        <v>789020.23699999996</v>
      </c>
      <c r="N7" s="151">
        <v>110224.52893924221</v>
      </c>
      <c r="O7" s="151">
        <v>2881757.1310000001</v>
      </c>
      <c r="P7" s="151">
        <v>143179.12299999999</v>
      </c>
      <c r="Q7" s="151">
        <f>SUM(B7:P7)</f>
        <v>9377087.2562142871</v>
      </c>
    </row>
    <row r="8" spans="1:17" ht="20.100000000000001" customHeight="1" x14ac:dyDescent="0.2">
      <c r="A8" s="152" t="s">
        <v>16</v>
      </c>
      <c r="B8" s="151">
        <v>77310.986000000004</v>
      </c>
      <c r="C8" s="151">
        <v>37911.595000000001</v>
      </c>
      <c r="D8" s="151">
        <v>13786.584000000001</v>
      </c>
      <c r="E8" s="151">
        <v>11828.653259999999</v>
      </c>
      <c r="F8" s="151">
        <v>80925.916531412993</v>
      </c>
      <c r="G8" s="151">
        <v>23984.875</v>
      </c>
      <c r="H8" s="151">
        <v>597128.42007842404</v>
      </c>
      <c r="I8" s="151">
        <v>516180.20799999998</v>
      </c>
      <c r="J8" s="151">
        <v>76457.866999999998</v>
      </c>
      <c r="K8" s="151">
        <v>24294.792000000001</v>
      </c>
      <c r="L8" s="151">
        <v>28691.287560000001</v>
      </c>
      <c r="M8" s="151">
        <v>359709.66100000002</v>
      </c>
      <c r="N8" s="151">
        <v>26411.766</v>
      </c>
      <c r="O8" s="151">
        <v>1259046.9400799994</v>
      </c>
      <c r="P8" s="151">
        <v>143179.12299999999</v>
      </c>
      <c r="Q8" s="151">
        <f t="shared" ref="Q8:Q26" si="0">SUM(B8:P8)</f>
        <v>3276848.6745098368</v>
      </c>
    </row>
    <row r="9" spans="1:17" ht="20.100000000000001" customHeight="1" x14ac:dyDescent="0.2">
      <c r="A9" s="152" t="s">
        <v>58</v>
      </c>
      <c r="B9" s="151">
        <v>164306.68799999999</v>
      </c>
      <c r="C9" s="151">
        <v>15017.005999999999</v>
      </c>
      <c r="D9" s="151">
        <v>174878.2</v>
      </c>
      <c r="E9" s="151">
        <v>47070.691220000001</v>
      </c>
      <c r="F9" s="151">
        <v>273129.37174508692</v>
      </c>
      <c r="G9" s="151">
        <v>218907.611</v>
      </c>
      <c r="H9" s="151">
        <v>551072.38062012347</v>
      </c>
      <c r="I9" s="151">
        <v>1736646.8729999999</v>
      </c>
      <c r="J9" s="151">
        <v>335307.52498000005</v>
      </c>
      <c r="K9" s="151">
        <v>393983.63942999981</v>
      </c>
      <c r="L9" s="151">
        <v>54085.065849999977</v>
      </c>
      <c r="M9" s="151">
        <v>429310.576</v>
      </c>
      <c r="N9" s="151">
        <v>83812.762939242224</v>
      </c>
      <c r="O9" s="151">
        <v>1622710.19092</v>
      </c>
      <c r="P9" s="151">
        <v>0</v>
      </c>
      <c r="Q9" s="151">
        <f t="shared" si="0"/>
        <v>6100238.5817044526</v>
      </c>
    </row>
    <row r="10" spans="1:17" ht="20.100000000000001" customHeight="1" x14ac:dyDescent="0.2">
      <c r="A10" s="152" t="s">
        <v>59</v>
      </c>
      <c r="B10" s="151">
        <v>1780.6780000000001</v>
      </c>
      <c r="C10" s="151">
        <v>0</v>
      </c>
      <c r="D10" s="151">
        <v>0</v>
      </c>
      <c r="E10" s="151">
        <v>-70.63</v>
      </c>
      <c r="F10" s="151">
        <v>4361.5560999999898</v>
      </c>
      <c r="G10" s="151">
        <v>0</v>
      </c>
      <c r="H10" s="151">
        <v>0</v>
      </c>
      <c r="I10" s="151">
        <v>-22018.839</v>
      </c>
      <c r="J10" s="151">
        <v>11856.002329999999</v>
      </c>
      <c r="K10" s="151">
        <v>0</v>
      </c>
      <c r="L10" s="151">
        <v>0</v>
      </c>
      <c r="M10" s="151">
        <v>-17602.784</v>
      </c>
      <c r="N10" s="151">
        <v>-2504.4369753788797</v>
      </c>
      <c r="O10" s="151">
        <v>1622710.19092</v>
      </c>
      <c r="P10" s="151">
        <v>0</v>
      </c>
      <c r="Q10" s="151">
        <f t="shared" si="0"/>
        <v>1598511.737374621</v>
      </c>
    </row>
    <row r="11" spans="1:17" ht="20.100000000000001" customHeight="1" x14ac:dyDescent="0.2">
      <c r="A11" s="152" t="s">
        <v>60</v>
      </c>
      <c r="B11" s="151">
        <v>166087.36600000001</v>
      </c>
      <c r="C11" s="151">
        <v>15284.914000000001</v>
      </c>
      <c r="D11" s="151">
        <v>175852.77900000001</v>
      </c>
      <c r="E11" s="151">
        <v>47000.061219999996</v>
      </c>
      <c r="F11" s="151">
        <v>268767.8149</v>
      </c>
      <c r="G11" s="151">
        <v>218107.753</v>
      </c>
      <c r="H11" s="151">
        <v>589710.08024935704</v>
      </c>
      <c r="I11" s="151">
        <v>1714638.03406</v>
      </c>
      <c r="J11" s="151">
        <v>323451.52265000012</v>
      </c>
      <c r="K11" s="151">
        <v>382990.11842999986</v>
      </c>
      <c r="L11" s="151">
        <v>49981.988940000017</v>
      </c>
      <c r="M11" s="151">
        <v>411707.79200000002</v>
      </c>
      <c r="N11" s="151">
        <v>81308.325963863346</v>
      </c>
      <c r="O11" s="151">
        <v>1581542.84892</v>
      </c>
      <c r="P11" s="151">
        <v>0</v>
      </c>
      <c r="Q11" s="151">
        <f t="shared" si="0"/>
        <v>6026431.39933322</v>
      </c>
    </row>
    <row r="12" spans="1:17" ht="20.100000000000001" customHeight="1" x14ac:dyDescent="0.2">
      <c r="A12" s="156" t="s">
        <v>67</v>
      </c>
      <c r="B12" s="151"/>
      <c r="C12" s="151"/>
      <c r="D12" s="151"/>
      <c r="E12" s="151"/>
      <c r="F12" s="151"/>
      <c r="G12" s="151"/>
      <c r="H12" s="151"/>
      <c r="I12" s="151"/>
      <c r="J12" s="172"/>
      <c r="K12" s="151"/>
      <c r="L12" s="151"/>
      <c r="M12" s="151"/>
      <c r="N12" s="151"/>
      <c r="O12" s="151"/>
      <c r="P12" s="151"/>
      <c r="Q12" s="151">
        <f t="shared" si="0"/>
        <v>0</v>
      </c>
    </row>
    <row r="13" spans="1:17" ht="20.100000000000001" customHeight="1" x14ac:dyDescent="0.2">
      <c r="A13" s="152" t="s">
        <v>57</v>
      </c>
      <c r="B13" s="151">
        <v>179016.48199999999</v>
      </c>
      <c r="C13" s="151">
        <v>28505.151999999998</v>
      </c>
      <c r="D13" s="151">
        <v>142167.83300000001</v>
      </c>
      <c r="E13" s="151">
        <v>37692.678319999999</v>
      </c>
      <c r="F13" s="151">
        <v>209185.02339000007</v>
      </c>
      <c r="G13" s="151">
        <v>157557.079</v>
      </c>
      <c r="H13" s="151">
        <v>436456.60856430035</v>
      </c>
      <c r="I13" s="151">
        <v>1383259.8089999999</v>
      </c>
      <c r="J13" s="151">
        <v>174951.36707999994</v>
      </c>
      <c r="K13" s="151">
        <v>275730.39199999999</v>
      </c>
      <c r="L13" s="151">
        <v>77274.394770000028</v>
      </c>
      <c r="M13" s="151">
        <v>358088.83600000001</v>
      </c>
      <c r="N13" s="151">
        <v>64599.306899000003</v>
      </c>
      <c r="O13" s="151">
        <v>1680845.4720000001</v>
      </c>
      <c r="P13" s="151">
        <v>1164.6859999999999</v>
      </c>
      <c r="Q13" s="151">
        <f t="shared" si="0"/>
        <v>5206495.1200232999</v>
      </c>
    </row>
    <row r="14" spans="1:17" ht="20.100000000000001" customHeight="1" x14ac:dyDescent="0.2">
      <c r="A14" s="152" t="s">
        <v>16</v>
      </c>
      <c r="B14" s="151">
        <v>58288.087</v>
      </c>
      <c r="C14" s="151">
        <v>21529.981</v>
      </c>
      <c r="D14" s="151">
        <v>29132.445</v>
      </c>
      <c r="E14" s="151">
        <v>8289.7394274950002</v>
      </c>
      <c r="F14" s="151">
        <v>24668.421249348503</v>
      </c>
      <c r="G14" s="151">
        <v>14730.255999999999</v>
      </c>
      <c r="H14" s="151">
        <v>128210.66578828666</v>
      </c>
      <c r="I14" s="151">
        <v>276711.29599999997</v>
      </c>
      <c r="J14" s="151">
        <v>2029.2758699999999</v>
      </c>
      <c r="K14" s="151">
        <v>-57230.866999999998</v>
      </c>
      <c r="L14" s="151">
        <v>36742.783410000004</v>
      </c>
      <c r="M14" s="151">
        <v>83114.592999999993</v>
      </c>
      <c r="N14" s="151">
        <v>5501.5330000000004</v>
      </c>
      <c r="O14" s="151">
        <v>562118.24300000002</v>
      </c>
      <c r="P14" s="151">
        <v>1164.6859999999999</v>
      </c>
      <c r="Q14" s="151">
        <f t="shared" si="0"/>
        <v>1195001.1387451303</v>
      </c>
    </row>
    <row r="15" spans="1:17" ht="20.100000000000001" customHeight="1" x14ac:dyDescent="0.2">
      <c r="A15" s="152" t="s">
        <v>58</v>
      </c>
      <c r="B15" s="151">
        <v>120728.395</v>
      </c>
      <c r="C15" s="151">
        <v>6975.1710000000003</v>
      </c>
      <c r="D15" s="151">
        <v>113035.38800000001</v>
      </c>
      <c r="E15" s="151">
        <v>29402.938892504997</v>
      </c>
      <c r="F15" s="151">
        <v>184516.60214065152</v>
      </c>
      <c r="G15" s="151">
        <v>142826.823</v>
      </c>
      <c r="H15" s="151">
        <v>308245.94277601369</v>
      </c>
      <c r="I15" s="151">
        <v>1106548.513</v>
      </c>
      <c r="J15" s="151">
        <v>172922.09120999993</v>
      </c>
      <c r="K15" s="151">
        <v>332961.25900000002</v>
      </c>
      <c r="L15" s="151">
        <v>40531.611360000017</v>
      </c>
      <c r="M15" s="151">
        <v>274974.24300000002</v>
      </c>
      <c r="N15" s="151">
        <v>59097.773899000007</v>
      </c>
      <c r="O15" s="151">
        <v>1118727.2290000001</v>
      </c>
      <c r="P15" s="151">
        <v>0</v>
      </c>
      <c r="Q15" s="151">
        <f t="shared" si="0"/>
        <v>4011493.9812781708</v>
      </c>
    </row>
    <row r="16" spans="1:17" ht="20.100000000000001" customHeight="1" x14ac:dyDescent="0.2">
      <c r="A16" s="152" t="s">
        <v>61</v>
      </c>
      <c r="B16" s="151">
        <v>29621.644</v>
      </c>
      <c r="C16" s="151">
        <v>0</v>
      </c>
      <c r="D16" s="151">
        <v>0</v>
      </c>
      <c r="E16" s="151">
        <v>7698.3217560500079</v>
      </c>
      <c r="F16" s="151">
        <v>1908.5709999999999</v>
      </c>
      <c r="G16" s="151">
        <v>0</v>
      </c>
      <c r="H16" s="151">
        <v>0</v>
      </c>
      <c r="I16" s="151">
        <v>-78232.480859999996</v>
      </c>
      <c r="J16" s="151">
        <v>16407.841390000001</v>
      </c>
      <c r="K16" s="151">
        <v>0</v>
      </c>
      <c r="L16" s="151">
        <v>0</v>
      </c>
      <c r="M16" s="151">
        <v>-17531.57</v>
      </c>
      <c r="N16" s="151">
        <v>-14419.4238658881</v>
      </c>
      <c r="O16" s="151">
        <v>1118727.2290000001</v>
      </c>
      <c r="P16" s="151">
        <v>0</v>
      </c>
      <c r="Q16" s="151">
        <f t="shared" si="0"/>
        <v>1064180.132420162</v>
      </c>
    </row>
    <row r="17" spans="1:18" ht="20.100000000000001" customHeight="1" x14ac:dyDescent="0.2">
      <c r="A17" s="152" t="s">
        <v>62</v>
      </c>
      <c r="B17" s="151">
        <v>150350.03899999999</v>
      </c>
      <c r="C17" s="151">
        <v>5583.0680000000002</v>
      </c>
      <c r="D17" s="151">
        <v>104658.863</v>
      </c>
      <c r="E17" s="151">
        <v>37101.26064855502</v>
      </c>
      <c r="F17" s="151">
        <v>186425.17314065152</v>
      </c>
      <c r="G17" s="151">
        <v>131350.23000000001</v>
      </c>
      <c r="H17" s="151">
        <v>328087.66570839548</v>
      </c>
      <c r="I17" s="151">
        <v>1028316.032</v>
      </c>
      <c r="J17" s="151">
        <v>189329.93259999994</v>
      </c>
      <c r="K17" s="151">
        <v>237979.88</v>
      </c>
      <c r="L17" s="151">
        <v>47494.521450000029</v>
      </c>
      <c r="M17" s="151">
        <v>257442.674</v>
      </c>
      <c r="N17" s="151">
        <v>44678.350033111914</v>
      </c>
      <c r="O17" s="151">
        <v>1107240.3357231843</v>
      </c>
      <c r="P17" s="151">
        <v>0</v>
      </c>
      <c r="Q17" s="151">
        <f t="shared" si="0"/>
        <v>3856038.0253038984</v>
      </c>
    </row>
    <row r="18" spans="1:18" ht="20.100000000000001" customHeight="1" x14ac:dyDescent="0.2">
      <c r="A18" s="156" t="s">
        <v>68</v>
      </c>
      <c r="B18" s="151"/>
      <c r="C18" s="151"/>
      <c r="D18" s="151"/>
      <c r="E18" s="151"/>
      <c r="F18" s="151"/>
      <c r="G18" s="151"/>
      <c r="H18" s="151"/>
      <c r="I18" s="151"/>
      <c r="J18" s="172"/>
      <c r="K18" s="151"/>
      <c r="L18" s="151"/>
      <c r="M18" s="151"/>
      <c r="N18" s="151"/>
      <c r="O18" s="151"/>
      <c r="P18" s="151"/>
      <c r="Q18" s="151">
        <f t="shared" si="0"/>
        <v>0</v>
      </c>
    </row>
    <row r="19" spans="1:18" ht="20.100000000000001" customHeight="1" x14ac:dyDescent="0.2">
      <c r="A19" s="152" t="s">
        <v>63</v>
      </c>
      <c r="B19" s="151">
        <v>2689.16</v>
      </c>
      <c r="C19" s="151">
        <v>12860.655000000001</v>
      </c>
      <c r="D19" s="151">
        <v>2642.8870000000002</v>
      </c>
      <c r="E19" s="151">
        <v>2139.0515433999999</v>
      </c>
      <c r="F19" s="151">
        <v>19380.575000000001</v>
      </c>
      <c r="G19" s="151">
        <v>3349.7179999999998</v>
      </c>
      <c r="H19" s="151">
        <v>83587.308227484202</v>
      </c>
      <c r="I19" s="151">
        <v>130322.933</v>
      </c>
      <c r="J19" s="151">
        <v>17251.87314</v>
      </c>
      <c r="K19" s="151">
        <v>3708.7649999999999</v>
      </c>
      <c r="L19" s="151">
        <v>6930.4061300000003</v>
      </c>
      <c r="M19" s="151">
        <v>49896.722999999998</v>
      </c>
      <c r="N19" s="151">
        <v>5591.7048299999997</v>
      </c>
      <c r="O19" s="151">
        <v>316359.36499999999</v>
      </c>
      <c r="P19" s="151">
        <v>16347.964</v>
      </c>
      <c r="Q19" s="151">
        <f t="shared" si="0"/>
        <v>673059.08887088427</v>
      </c>
    </row>
    <row r="20" spans="1:18" ht="20.100000000000001" customHeight="1" x14ac:dyDescent="0.2">
      <c r="A20" s="152" t="s">
        <v>64</v>
      </c>
      <c r="B20" s="151">
        <v>12108.852000000001</v>
      </c>
      <c r="C20" s="151">
        <v>506.67399999999998</v>
      </c>
      <c r="D20" s="151">
        <v>8380.3259999999991</v>
      </c>
      <c r="E20" s="151">
        <v>5223.5209999999997</v>
      </c>
      <c r="F20" s="151">
        <v>45413.625999999997</v>
      </c>
      <c r="G20" s="151">
        <v>23118.13</v>
      </c>
      <c r="H20" s="151">
        <v>143283.83307673573</v>
      </c>
      <c r="I20" s="151">
        <v>333521.60600000003</v>
      </c>
      <c r="J20" s="151">
        <v>49643.568489999983</v>
      </c>
      <c r="K20" s="151">
        <v>37457.557999999997</v>
      </c>
      <c r="L20" s="151">
        <v>0</v>
      </c>
      <c r="M20" s="151">
        <v>42043.883000000002</v>
      </c>
      <c r="N20" s="151">
        <v>11339.450680000018</v>
      </c>
      <c r="O20" s="151">
        <v>249425.51680000001</v>
      </c>
      <c r="P20" s="151">
        <v>4309.7669999999998</v>
      </c>
      <c r="Q20" s="151">
        <f t="shared" si="0"/>
        <v>965776.31204673578</v>
      </c>
    </row>
    <row r="21" spans="1:18" ht="20.100000000000001" customHeight="1" x14ac:dyDescent="0.2">
      <c r="A21" s="152" t="s">
        <v>58</v>
      </c>
      <c r="B21" s="151">
        <v>-9419.6919999999991</v>
      </c>
      <c r="C21" s="151">
        <v>12353.981</v>
      </c>
      <c r="D21" s="151">
        <v>-5737.4390000000003</v>
      </c>
      <c r="E21" s="151">
        <v>-3084.4694565999998</v>
      </c>
      <c r="F21" s="151">
        <v>-26033.050999999999</v>
      </c>
      <c r="G21" s="151">
        <v>-19768.412</v>
      </c>
      <c r="H21" s="151">
        <v>-59696.524849251531</v>
      </c>
      <c r="I21" s="151">
        <v>-203198.67300000001</v>
      </c>
      <c r="J21" s="151">
        <v>-32391.695350000013</v>
      </c>
      <c r="K21" s="151">
        <v>-33748.792999999998</v>
      </c>
      <c r="L21" s="151">
        <v>6930.4061300000003</v>
      </c>
      <c r="M21" s="151">
        <v>7852.84</v>
      </c>
      <c r="N21" s="151">
        <v>-5747.7458500000221</v>
      </c>
      <c r="O21" s="151">
        <v>66933.848199999979</v>
      </c>
      <c r="P21" s="151">
        <v>12038.197</v>
      </c>
      <c r="Q21" s="151">
        <f t="shared" si="0"/>
        <v>-292717.22317585157</v>
      </c>
    </row>
    <row r="22" spans="1:18" ht="20.100000000000001" customHeight="1" x14ac:dyDescent="0.2">
      <c r="A22" s="150" t="s">
        <v>69</v>
      </c>
      <c r="B22" s="151">
        <v>33872.456716999994</v>
      </c>
      <c r="C22" s="151">
        <v>18841.679</v>
      </c>
      <c r="D22" s="151">
        <v>55472.004000000001</v>
      </c>
      <c r="E22" s="151">
        <v>17847.319740000003</v>
      </c>
      <c r="F22" s="151">
        <v>60118.101000000002</v>
      </c>
      <c r="G22" s="151">
        <v>65517.457000000002</v>
      </c>
      <c r="H22" s="151">
        <v>142877.5866325</v>
      </c>
      <c r="I22" s="151">
        <v>377879.04700000002</v>
      </c>
      <c r="J22" s="151">
        <v>40706.181790000002</v>
      </c>
      <c r="K22" s="151">
        <v>110805.159</v>
      </c>
      <c r="L22" s="151">
        <v>56970.858589999996</v>
      </c>
      <c r="M22" s="151">
        <v>166419.788</v>
      </c>
      <c r="N22" s="151">
        <v>37915.497799999997</v>
      </c>
      <c r="O22" s="151">
        <v>480792.34198797558</v>
      </c>
      <c r="P22" s="151">
        <v>5602.0590000000002</v>
      </c>
      <c r="Q22" s="151">
        <f t="shared" si="0"/>
        <v>1671637.5372574755</v>
      </c>
    </row>
    <row r="23" spans="1:18" ht="20.100000000000001" customHeight="1" x14ac:dyDescent="0.2">
      <c r="A23" s="150" t="s">
        <v>70</v>
      </c>
      <c r="B23" s="151">
        <v>-27554.821716999995</v>
      </c>
      <c r="C23" s="151">
        <v>3214.1480000000001</v>
      </c>
      <c r="D23" s="151">
        <v>9984.473</v>
      </c>
      <c r="E23" s="151">
        <v>-11032.988625155011</v>
      </c>
      <c r="F23" s="151">
        <v>-3808.5102406514898</v>
      </c>
      <c r="G23" s="151">
        <v>1471.654</v>
      </c>
      <c r="H23" s="151">
        <v>59048.30305920988</v>
      </c>
      <c r="I23" s="151">
        <v>105244.28206000007</v>
      </c>
      <c r="J23" s="151">
        <v>61023.712910000002</v>
      </c>
      <c r="K23" s="151">
        <v>456.2864299999901</v>
      </c>
      <c r="L23" s="151">
        <v>-47552.984969999998</v>
      </c>
      <c r="M23" s="151">
        <v>-4301.83</v>
      </c>
      <c r="N23" s="151">
        <v>-7033.2677192485598</v>
      </c>
      <c r="O23" s="151">
        <v>60444.019408840082</v>
      </c>
      <c r="P23" s="151">
        <v>6436.1379999999999</v>
      </c>
      <c r="Q23" s="151">
        <f t="shared" si="0"/>
        <v>206038.61359599498</v>
      </c>
      <c r="R23" s="173"/>
    </row>
    <row r="24" spans="1:18" ht="20.100000000000001" customHeight="1" x14ac:dyDescent="0.2">
      <c r="A24" s="150" t="s">
        <v>71</v>
      </c>
      <c r="B24" s="151">
        <v>2771.7620000000002</v>
      </c>
      <c r="C24" s="151">
        <v>1037.8900000000001</v>
      </c>
      <c r="D24" s="151">
        <v>27297.657999999999</v>
      </c>
      <c r="E24" s="151">
        <v>7164.4390000000003</v>
      </c>
      <c r="F24" s="151">
        <v>1240.3131800000001</v>
      </c>
      <c r="G24" s="151">
        <v>4291.2030000000004</v>
      </c>
      <c r="H24" s="151">
        <v>40483.95084005018</v>
      </c>
      <c r="I24" s="151">
        <v>127541.86599999999</v>
      </c>
      <c r="J24" s="151">
        <v>32597.598910000004</v>
      </c>
      <c r="K24" s="151">
        <v>7749.4780000000001</v>
      </c>
      <c r="L24" s="151">
        <v>835.06299999999999</v>
      </c>
      <c r="M24" s="151">
        <v>45402.862999999998</v>
      </c>
      <c r="N24" s="151">
        <v>21334.285</v>
      </c>
      <c r="O24" s="151">
        <v>159708.27574000001</v>
      </c>
      <c r="P24" s="151">
        <v>759.39300000000003</v>
      </c>
      <c r="Q24" s="151">
        <f t="shared" si="0"/>
        <v>480216.0386700501</v>
      </c>
    </row>
    <row r="25" spans="1:18" ht="20.100000000000001" customHeight="1" x14ac:dyDescent="0.2">
      <c r="A25" s="150" t="s">
        <v>72</v>
      </c>
      <c r="B25" s="151">
        <v>-24783.059717</v>
      </c>
      <c r="C25" s="151">
        <v>4252.0379999999996</v>
      </c>
      <c r="D25" s="151">
        <v>37282.131000000001</v>
      </c>
      <c r="E25" s="151">
        <v>-3868.5496251550103</v>
      </c>
      <c r="F25" s="151">
        <v>-2568.1970606514901</v>
      </c>
      <c r="G25" s="151">
        <v>5762.857</v>
      </c>
      <c r="H25" s="151">
        <v>99532.253899260075</v>
      </c>
      <c r="I25" s="151">
        <v>232786.14806000009</v>
      </c>
      <c r="J25" s="151">
        <v>93621.311820000003</v>
      </c>
      <c r="K25" s="151">
        <v>8205.7644299999902</v>
      </c>
      <c r="L25" s="151">
        <v>-46717.921969999996</v>
      </c>
      <c r="M25" s="151">
        <v>41101.033000000003</v>
      </c>
      <c r="N25" s="151">
        <v>14301.017280751441</v>
      </c>
      <c r="O25" s="151">
        <v>220152.29514884009</v>
      </c>
      <c r="P25" s="151">
        <v>7195.5309999999999</v>
      </c>
      <c r="Q25" s="151">
        <f t="shared" si="0"/>
        <v>686254.6522660451</v>
      </c>
    </row>
    <row r="26" spans="1:18" ht="20.100000000000001" customHeight="1" x14ac:dyDescent="0.2">
      <c r="A26" s="150" t="s">
        <v>73</v>
      </c>
      <c r="B26" s="151">
        <v>-3264.3490000000002</v>
      </c>
      <c r="C26" s="151">
        <v>1312.1610000000001</v>
      </c>
      <c r="D26" s="151">
        <v>0</v>
      </c>
      <c r="E26" s="151">
        <v>-607.57100000000003</v>
      </c>
      <c r="F26" s="151">
        <v>0</v>
      </c>
      <c r="G26" s="151">
        <v>0</v>
      </c>
      <c r="H26" s="151">
        <v>17048.166149999997</v>
      </c>
      <c r="I26" s="151">
        <v>26207.808000000001</v>
      </c>
      <c r="J26" s="151">
        <v>13240.708000000001</v>
      </c>
      <c r="K26" s="151">
        <v>0</v>
      </c>
      <c r="L26" s="151">
        <v>0</v>
      </c>
      <c r="M26" s="151">
        <v>0</v>
      </c>
      <c r="N26" s="151">
        <v>3043.3389999999999</v>
      </c>
      <c r="O26" s="151">
        <v>27392.24193</v>
      </c>
      <c r="P26" s="151">
        <v>1417.4780000000001</v>
      </c>
      <c r="Q26" s="151">
        <f t="shared" si="0"/>
        <v>85789.982080000002</v>
      </c>
    </row>
    <row r="27" spans="1:18" ht="14.25" x14ac:dyDescent="0.2">
      <c r="A27" s="15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8" ht="14.25" x14ac:dyDescent="0.2">
      <c r="A28" s="153" t="s">
        <v>87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8" ht="14.25" x14ac:dyDescent="0.2">
      <c r="A29" s="169" t="s">
        <v>88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</sheetData>
  <mergeCells count="3">
    <mergeCell ref="A2:Q2"/>
    <mergeCell ref="A3:Q3"/>
    <mergeCell ref="A4:Q4"/>
  </mergeCells>
  <pageMargins left="0.7" right="0.7" top="0.75" bottom="0.75" header="0.3" footer="0.3"/>
  <pageSetup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2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:Q4"/>
    </sheetView>
  </sheetViews>
  <sheetFormatPr defaultRowHeight="12.75" x14ac:dyDescent="0.2"/>
  <cols>
    <col min="1" max="1" width="54.28515625" bestFit="1" customWidth="1"/>
    <col min="2" max="3" width="10.85546875" customWidth="1"/>
    <col min="4" max="4" width="12.28515625" customWidth="1"/>
    <col min="6" max="7" width="10.28515625" bestFit="1" customWidth="1"/>
    <col min="8" max="9" width="12.140625" bestFit="1" customWidth="1"/>
    <col min="10" max="11" width="10.28515625" bestFit="1" customWidth="1"/>
    <col min="12" max="12" width="10.85546875" bestFit="1" customWidth="1"/>
    <col min="13" max="14" width="10.28515625" bestFit="1" customWidth="1"/>
    <col min="15" max="15" width="12.140625" bestFit="1" customWidth="1"/>
    <col min="16" max="16" width="14.28515625" customWidth="1"/>
    <col min="17" max="17" width="15.5703125" bestFit="1" customWidth="1"/>
    <col min="18" max="18" width="13.28515625" customWidth="1"/>
  </cols>
  <sheetData>
    <row r="1" spans="1:18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8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8" ht="15.75" x14ac:dyDescent="0.25">
      <c r="A3" s="174" t="s">
        <v>93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8" ht="14.25" customHeight="1" x14ac:dyDescent="0.2">
      <c r="A4" s="175" t="s">
        <v>37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8" s="3" customFormat="1" ht="30.75" customHeight="1" x14ac:dyDescent="0.2">
      <c r="A5" s="147"/>
      <c r="B5" s="148" t="s">
        <v>95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89</v>
      </c>
      <c r="M5" s="148" t="s">
        <v>10</v>
      </c>
      <c r="N5" s="148" t="s">
        <v>11</v>
      </c>
      <c r="O5" s="148" t="s">
        <v>12</v>
      </c>
      <c r="P5" s="155" t="s">
        <v>90</v>
      </c>
      <c r="Q5" s="149" t="s">
        <v>13</v>
      </c>
    </row>
    <row r="6" spans="1:18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8" ht="20.100000000000001" customHeight="1" x14ac:dyDescent="0.2">
      <c r="A7" s="152" t="s">
        <v>57</v>
      </c>
      <c r="B7" s="172">
        <v>197209.97</v>
      </c>
      <c r="C7" s="172">
        <v>44132.686999999998</v>
      </c>
      <c r="D7" s="172">
        <v>192588.05799999999</v>
      </c>
      <c r="E7" s="172">
        <v>59880.589</v>
      </c>
      <c r="F7" s="172">
        <v>340591.89299999998</v>
      </c>
      <c r="G7" s="172">
        <v>237407.22700000001</v>
      </c>
      <c r="H7" s="172">
        <v>1184417.3509925923</v>
      </c>
      <c r="I7" s="172">
        <v>2192672.7999999998</v>
      </c>
      <c r="J7" s="172">
        <v>359009.70032999996</v>
      </c>
      <c r="K7" s="172">
        <v>389015.79100000003</v>
      </c>
      <c r="L7" s="172">
        <v>70143.25801000002</v>
      </c>
      <c r="M7" s="172">
        <v>757039.58600000001</v>
      </c>
      <c r="N7" s="172">
        <v>137052.73378697579</v>
      </c>
      <c r="O7" s="172">
        <v>2652735.392</v>
      </c>
      <c r="P7" s="172">
        <v>129652.317</v>
      </c>
      <c r="Q7" s="151">
        <f>SUM(B7:P7)</f>
        <v>8943549.3531195689</v>
      </c>
      <c r="R7" s="151"/>
    </row>
    <row r="8" spans="1:18" ht="20.100000000000001" customHeight="1" x14ac:dyDescent="0.2">
      <c r="A8" s="152" t="s">
        <v>16</v>
      </c>
      <c r="B8" s="172">
        <v>15358.300999999999</v>
      </c>
      <c r="C8" s="172">
        <v>31295.404999999999</v>
      </c>
      <c r="D8" s="172">
        <v>10271.941000000001</v>
      </c>
      <c r="E8" s="172">
        <v>9166.4380000000001</v>
      </c>
      <c r="F8" s="172">
        <v>75275.415999999997</v>
      </c>
      <c r="G8" s="172">
        <v>22740.460999999999</v>
      </c>
      <c r="H8" s="172">
        <v>599042.01942048478</v>
      </c>
      <c r="I8" s="172">
        <v>531312.73800000001</v>
      </c>
      <c r="J8" s="172">
        <v>47515.311329999997</v>
      </c>
      <c r="K8" s="172">
        <v>22039.848000000002</v>
      </c>
      <c r="L8" s="172">
        <v>21410.875000427946</v>
      </c>
      <c r="M8" s="172">
        <v>372445.63299999997</v>
      </c>
      <c r="N8" s="172">
        <v>25437.358780000002</v>
      </c>
      <c r="O8" s="172">
        <v>1131953.6728794214</v>
      </c>
      <c r="P8" s="172">
        <v>129652.317</v>
      </c>
      <c r="Q8" s="151">
        <f t="shared" ref="Q8:Q26" si="0">SUM(B8:P8)</f>
        <v>3044917.7354103336</v>
      </c>
      <c r="R8" s="151"/>
    </row>
    <row r="9" spans="1:18" ht="20.100000000000001" customHeight="1" x14ac:dyDescent="0.2">
      <c r="A9" s="152" t="s">
        <v>58</v>
      </c>
      <c r="B9" s="172">
        <v>181851.66899999999</v>
      </c>
      <c r="C9" s="172">
        <v>12837.281999999999</v>
      </c>
      <c r="D9" s="172">
        <v>182316.117</v>
      </c>
      <c r="E9" s="172">
        <v>50714.150999999998</v>
      </c>
      <c r="F9" s="172">
        <v>265316.47700000001</v>
      </c>
      <c r="G9" s="172">
        <v>214666.766</v>
      </c>
      <c r="H9" s="172">
        <v>585375.33157210727</v>
      </c>
      <c r="I9" s="172">
        <v>1661360.0619999999</v>
      </c>
      <c r="J9" s="172">
        <v>311494.38900000002</v>
      </c>
      <c r="K9" s="172">
        <v>366975.94300000003</v>
      </c>
      <c r="L9" s="172">
        <v>48732.38300957204</v>
      </c>
      <c r="M9" s="172">
        <v>384593.95299999998</v>
      </c>
      <c r="N9" s="172">
        <v>111615.37500697581</v>
      </c>
      <c r="O9" s="172">
        <v>1520781.7191205786</v>
      </c>
      <c r="P9" s="172">
        <v>0</v>
      </c>
      <c r="Q9" s="151">
        <f t="shared" si="0"/>
        <v>5898631.6177092334</v>
      </c>
      <c r="R9" s="151"/>
    </row>
    <row r="10" spans="1:18" ht="20.100000000000001" customHeight="1" x14ac:dyDescent="0.2">
      <c r="A10" s="152" t="s">
        <v>59</v>
      </c>
      <c r="B10" s="172">
        <v>-31413.667000000001</v>
      </c>
      <c r="C10" s="172">
        <v>431.476</v>
      </c>
      <c r="D10" s="172">
        <v>0</v>
      </c>
      <c r="E10" s="172">
        <v>-2172.1179999999999</v>
      </c>
      <c r="F10" s="172">
        <v>0</v>
      </c>
      <c r="G10" s="172">
        <v>0</v>
      </c>
      <c r="H10" s="172">
        <v>0</v>
      </c>
      <c r="I10" s="172">
        <v>-34797.957000000002</v>
      </c>
      <c r="J10" s="172">
        <v>5608.1520500000006</v>
      </c>
      <c r="K10" s="172">
        <v>0</v>
      </c>
      <c r="L10" s="172">
        <v>0</v>
      </c>
      <c r="M10" s="172">
        <v>0</v>
      </c>
      <c r="N10" s="172">
        <v>2847.5476111019298</v>
      </c>
      <c r="O10" s="172">
        <v>669981.50899999996</v>
      </c>
      <c r="P10" s="172">
        <v>0</v>
      </c>
      <c r="Q10" s="151">
        <f t="shared" si="0"/>
        <v>610484.94266110193</v>
      </c>
      <c r="R10" s="151"/>
    </row>
    <row r="11" spans="1:18" ht="20.100000000000001" customHeight="1" x14ac:dyDescent="0.2">
      <c r="A11" s="152" t="s">
        <v>60</v>
      </c>
      <c r="B11" s="172">
        <v>150438.00200000001</v>
      </c>
      <c r="C11" s="172">
        <v>13268.758</v>
      </c>
      <c r="D11" s="172">
        <v>181312.84299999999</v>
      </c>
      <c r="E11" s="172">
        <v>52886.269</v>
      </c>
      <c r="F11" s="172">
        <v>251783.1</v>
      </c>
      <c r="G11" s="172">
        <v>213816.75599999999</v>
      </c>
      <c r="H11" s="172">
        <v>528596.54556869529</v>
      </c>
      <c r="I11" s="172">
        <v>1626562.105</v>
      </c>
      <c r="J11" s="172">
        <v>305886.23694999999</v>
      </c>
      <c r="K11" s="172">
        <v>348502.11499999999</v>
      </c>
      <c r="L11" s="172">
        <v>38714.140009572046</v>
      </c>
      <c r="M11" s="172">
        <v>381983.02299999999</v>
      </c>
      <c r="N11" s="172">
        <v>114462.92261807775</v>
      </c>
      <c r="O11" s="172">
        <v>1448294.6991205786</v>
      </c>
      <c r="P11" s="172">
        <v>0</v>
      </c>
      <c r="Q11" s="151">
        <f t="shared" si="0"/>
        <v>5656507.5152669232</v>
      </c>
      <c r="R11" s="151"/>
    </row>
    <row r="12" spans="1:18" ht="20.100000000000001" customHeight="1" x14ac:dyDescent="0.2">
      <c r="A12" s="156" t="s">
        <v>67</v>
      </c>
      <c r="B12" s="151"/>
      <c r="C12" s="151"/>
      <c r="D12" s="151"/>
      <c r="E12" s="151"/>
      <c r="F12" s="151"/>
      <c r="G12" s="151"/>
      <c r="H12" s="151"/>
      <c r="I12" s="151"/>
      <c r="J12" s="172">
        <v>0</v>
      </c>
      <c r="K12" s="151"/>
      <c r="L12" s="151"/>
      <c r="M12" s="151"/>
      <c r="N12" s="151"/>
      <c r="O12" s="151"/>
      <c r="P12" s="151"/>
      <c r="Q12" s="151">
        <f t="shared" si="0"/>
        <v>0</v>
      </c>
      <c r="R12" s="151"/>
    </row>
    <row r="13" spans="1:18" ht="20.100000000000001" customHeight="1" x14ac:dyDescent="0.2">
      <c r="A13" s="152" t="s">
        <v>57</v>
      </c>
      <c r="B13" s="172">
        <v>164622.552</v>
      </c>
      <c r="C13" s="172">
        <v>1183.278</v>
      </c>
      <c r="D13" s="172">
        <v>128036.435</v>
      </c>
      <c r="E13" s="172">
        <v>47895.985999999997</v>
      </c>
      <c r="F13" s="172">
        <v>205511.59099999999</v>
      </c>
      <c r="G13" s="172">
        <v>166943.315</v>
      </c>
      <c r="H13" s="172">
        <v>492844.35615932866</v>
      </c>
      <c r="I13" s="172">
        <v>1029716.681</v>
      </c>
      <c r="J13" s="172">
        <v>154770.69970000003</v>
      </c>
      <c r="K13" s="172">
        <v>269082.26299999998</v>
      </c>
      <c r="L13" s="172">
        <v>54372.417020000001</v>
      </c>
      <c r="M13" s="172">
        <v>402568.70500000002</v>
      </c>
      <c r="N13" s="172">
        <v>84111.788435000009</v>
      </c>
      <c r="O13" s="172">
        <v>1458486.36</v>
      </c>
      <c r="P13" s="172">
        <v>430.55</v>
      </c>
      <c r="Q13" s="151">
        <f t="shared" si="0"/>
        <v>4660576.9773143288</v>
      </c>
      <c r="R13" s="151"/>
    </row>
    <row r="14" spans="1:18" ht="20.100000000000001" customHeight="1" x14ac:dyDescent="0.2">
      <c r="A14" s="152" t="s">
        <v>16</v>
      </c>
      <c r="B14" s="172">
        <v>6969.4949999999999</v>
      </c>
      <c r="C14" s="172">
        <v>828.29399999999998</v>
      </c>
      <c r="D14" s="172">
        <v>44542.311999999998</v>
      </c>
      <c r="E14" s="172">
        <v>12814.227999999999</v>
      </c>
      <c r="F14" s="172">
        <v>29493.151999999998</v>
      </c>
      <c r="G14" s="172">
        <v>44640.964</v>
      </c>
      <c r="H14" s="172">
        <v>222954.2498855521</v>
      </c>
      <c r="I14" s="172">
        <v>95140.834000000003</v>
      </c>
      <c r="J14" s="172">
        <v>604.98632000000009</v>
      </c>
      <c r="K14" s="172">
        <v>56943.64</v>
      </c>
      <c r="L14" s="172">
        <v>29255.64155</v>
      </c>
      <c r="M14" s="172">
        <v>145164.239</v>
      </c>
      <c r="N14" s="172">
        <v>9359.8971799999999</v>
      </c>
      <c r="O14" s="172">
        <v>481496.31599999999</v>
      </c>
      <c r="P14" s="172">
        <v>430.55</v>
      </c>
      <c r="Q14" s="151">
        <f t="shared" si="0"/>
        <v>1180638.7989355521</v>
      </c>
      <c r="R14" s="151"/>
    </row>
    <row r="15" spans="1:18" ht="20.100000000000001" customHeight="1" x14ac:dyDescent="0.2">
      <c r="A15" s="152" t="s">
        <v>58</v>
      </c>
      <c r="B15" s="172">
        <v>157653.057</v>
      </c>
      <c r="C15" s="172">
        <v>354.98399999999998</v>
      </c>
      <c r="D15" s="172">
        <v>83494.123000000007</v>
      </c>
      <c r="E15" s="172">
        <v>35081.758000000002</v>
      </c>
      <c r="F15" s="172">
        <v>176018.43900000001</v>
      </c>
      <c r="G15" s="172">
        <v>122302.351</v>
      </c>
      <c r="H15" s="172">
        <v>269890.10627377644</v>
      </c>
      <c r="I15" s="172">
        <v>934575.84699999995</v>
      </c>
      <c r="J15" s="172">
        <v>154165.71338</v>
      </c>
      <c r="K15" s="172">
        <v>212138.62299999999</v>
      </c>
      <c r="L15" s="172">
        <v>25116.77547</v>
      </c>
      <c r="M15" s="172">
        <v>257404.46599999999</v>
      </c>
      <c r="N15" s="172">
        <v>74751.891254999995</v>
      </c>
      <c r="O15" s="172">
        <v>976990.04399999999</v>
      </c>
      <c r="P15" s="172">
        <v>0</v>
      </c>
      <c r="Q15" s="151">
        <f t="shared" si="0"/>
        <v>3479938.1783787766</v>
      </c>
      <c r="R15" s="151"/>
    </row>
    <row r="16" spans="1:18" ht="20.100000000000001" customHeight="1" x14ac:dyDescent="0.2">
      <c r="A16" s="152" t="s">
        <v>61</v>
      </c>
      <c r="B16" s="172">
        <v>3058.7460000000001</v>
      </c>
      <c r="C16" s="172">
        <v>86.537000000000006</v>
      </c>
      <c r="D16" s="172">
        <v>0</v>
      </c>
      <c r="E16" s="172">
        <v>4273.07</v>
      </c>
      <c r="F16" s="172">
        <v>0</v>
      </c>
      <c r="G16" s="172">
        <v>0</v>
      </c>
      <c r="H16" s="172">
        <v>0</v>
      </c>
      <c r="I16" s="172">
        <v>30058.516</v>
      </c>
      <c r="J16" s="172">
        <v>-18780.697840000012</v>
      </c>
      <c r="K16" s="172">
        <v>0</v>
      </c>
      <c r="L16" s="172">
        <v>0</v>
      </c>
      <c r="M16" s="172">
        <v>0</v>
      </c>
      <c r="N16" s="172">
        <v>8571.7409571029912</v>
      </c>
      <c r="O16" s="172">
        <v>0</v>
      </c>
      <c r="P16" s="172">
        <v>0</v>
      </c>
      <c r="Q16" s="151">
        <f t="shared" si="0"/>
        <v>27267.912117102976</v>
      </c>
      <c r="R16" s="151"/>
    </row>
    <row r="17" spans="1:19" ht="20.100000000000001" customHeight="1" x14ac:dyDescent="0.2">
      <c r="A17" s="152" t="s">
        <v>62</v>
      </c>
      <c r="B17" s="172">
        <v>160711.80300000001</v>
      </c>
      <c r="C17" s="172">
        <v>441.52100000000002</v>
      </c>
      <c r="D17" s="172">
        <v>120748.325</v>
      </c>
      <c r="E17" s="172">
        <v>39354.828000000001</v>
      </c>
      <c r="F17" s="172">
        <v>162468.21599999999</v>
      </c>
      <c r="G17" s="172">
        <v>122865.173</v>
      </c>
      <c r="H17" s="172">
        <v>269854.93133706367</v>
      </c>
      <c r="I17" s="172">
        <v>964634.36300000001</v>
      </c>
      <c r="J17" s="172">
        <v>135385.01554000002</v>
      </c>
      <c r="K17" s="172">
        <v>215368.15100000001</v>
      </c>
      <c r="L17" s="172">
        <v>40075.840469999996</v>
      </c>
      <c r="M17" s="172">
        <v>247187.22500000001</v>
      </c>
      <c r="N17" s="172">
        <v>83323.632212102995</v>
      </c>
      <c r="O17" s="172">
        <v>1001373.5583428453</v>
      </c>
      <c r="P17" s="172">
        <v>0</v>
      </c>
      <c r="Q17" s="151">
        <f t="shared" si="0"/>
        <v>3563792.5829020119</v>
      </c>
      <c r="R17" s="151"/>
    </row>
    <row r="18" spans="1:19" ht="20.100000000000001" customHeight="1" x14ac:dyDescent="0.2">
      <c r="A18" s="156" t="s">
        <v>68</v>
      </c>
      <c r="B18" s="151"/>
      <c r="C18" s="151"/>
      <c r="D18" s="151"/>
      <c r="E18" s="151"/>
      <c r="F18" s="151"/>
      <c r="G18" s="151"/>
      <c r="H18" s="151"/>
      <c r="I18" s="151"/>
      <c r="J18" s="172">
        <v>0</v>
      </c>
      <c r="K18" s="151"/>
      <c r="L18" s="151"/>
      <c r="M18" s="151"/>
      <c r="N18" s="151"/>
      <c r="O18" s="151"/>
      <c r="P18" s="151"/>
      <c r="Q18" s="151">
        <f t="shared" si="0"/>
        <v>0</v>
      </c>
      <c r="R18" s="151"/>
    </row>
    <row r="19" spans="1:19" ht="20.100000000000001" customHeight="1" x14ac:dyDescent="0.2">
      <c r="A19" s="152" t="s">
        <v>63</v>
      </c>
      <c r="B19" s="172">
        <v>1625.662</v>
      </c>
      <c r="C19" s="173">
        <v>9223.4709999999995</v>
      </c>
      <c r="D19" s="173">
        <v>1844.9960000000001</v>
      </c>
      <c r="E19" s="173">
        <v>1500.741</v>
      </c>
      <c r="F19" s="173">
        <v>17578.73</v>
      </c>
      <c r="G19" s="173">
        <v>3401.9870000000001</v>
      </c>
      <c r="H19" s="173">
        <v>77866.618080610409</v>
      </c>
      <c r="I19" s="173">
        <v>100840.59600000001</v>
      </c>
      <c r="J19" s="172">
        <v>7091.0483600000007</v>
      </c>
      <c r="K19" s="173">
        <v>3341.2159999999999</v>
      </c>
      <c r="L19" s="173">
        <v>5210.280055935079</v>
      </c>
      <c r="M19" s="173">
        <v>56988.961000000003</v>
      </c>
      <c r="N19" s="173">
        <v>4604.9218600000004</v>
      </c>
      <c r="O19" s="173">
        <v>271606.071</v>
      </c>
      <c r="P19" s="173">
        <v>14735.192999999999</v>
      </c>
      <c r="Q19" s="151">
        <f t="shared" si="0"/>
        <v>577460.49235654552</v>
      </c>
      <c r="R19" s="151"/>
    </row>
    <row r="20" spans="1:19" ht="20.100000000000001" customHeight="1" x14ac:dyDescent="0.2">
      <c r="A20" s="152" t="s">
        <v>64</v>
      </c>
      <c r="B20" s="172">
        <v>7686.2169999999996</v>
      </c>
      <c r="C20" s="173">
        <v>595.476</v>
      </c>
      <c r="D20" s="173">
        <v>9783.27</v>
      </c>
      <c r="E20" s="173">
        <v>5630.61</v>
      </c>
      <c r="F20" s="173">
        <v>40275.750708474683</v>
      </c>
      <c r="G20" s="173">
        <v>24409.409</v>
      </c>
      <c r="H20" s="173">
        <v>131866.80360501149</v>
      </c>
      <c r="I20" s="173">
        <v>318938.32900000003</v>
      </c>
      <c r="J20" s="172">
        <v>45053.789819999991</v>
      </c>
      <c r="K20" s="173">
        <v>34362.614999999998</v>
      </c>
      <c r="L20" s="173">
        <v>0</v>
      </c>
      <c r="M20" s="173">
        <v>35537.319000000003</v>
      </c>
      <c r="N20" s="173">
        <v>11213.23248000001</v>
      </c>
      <c r="O20" s="173">
        <v>233556.1348</v>
      </c>
      <c r="P20" s="173">
        <v>3929.866</v>
      </c>
      <c r="Q20" s="151">
        <f t="shared" si="0"/>
        <v>902838.8224134862</v>
      </c>
      <c r="R20" s="151"/>
    </row>
    <row r="21" spans="1:19" ht="20.100000000000001" customHeight="1" x14ac:dyDescent="0.2">
      <c r="A21" s="152" t="s">
        <v>58</v>
      </c>
      <c r="B21" s="172">
        <v>-6060.5550000000003</v>
      </c>
      <c r="C21" s="173">
        <v>8627.9950000000008</v>
      </c>
      <c r="D21" s="173">
        <v>-7938.2740000000003</v>
      </c>
      <c r="E21" s="173">
        <v>-4129.8689999999997</v>
      </c>
      <c r="F21" s="173">
        <v>-22697.020708474676</v>
      </c>
      <c r="G21" s="173">
        <v>-21007.421999999999</v>
      </c>
      <c r="H21" s="173">
        <v>-54000.185524401066</v>
      </c>
      <c r="I21" s="173">
        <v>-218097.73300000001</v>
      </c>
      <c r="J21" s="172">
        <v>-37962.74145999999</v>
      </c>
      <c r="K21" s="173">
        <v>-31021.399000000001</v>
      </c>
      <c r="L21" s="173">
        <v>5210.280055935079</v>
      </c>
      <c r="M21" s="173">
        <v>21451.642</v>
      </c>
      <c r="N21" s="173">
        <v>-6608.3106200000093</v>
      </c>
      <c r="O21" s="173">
        <v>38049.936200000004</v>
      </c>
      <c r="P21" s="173">
        <v>10805.326999999999</v>
      </c>
      <c r="Q21" s="151">
        <f t="shared" si="0"/>
        <v>-325378.33005694061</v>
      </c>
      <c r="R21" s="151"/>
    </row>
    <row r="22" spans="1:19" ht="20.100000000000001" customHeight="1" x14ac:dyDescent="0.2">
      <c r="A22" s="150" t="s">
        <v>69</v>
      </c>
      <c r="B22" s="172">
        <v>26066.969263000003</v>
      </c>
      <c r="C22" s="173">
        <v>17613.302</v>
      </c>
      <c r="D22" s="173">
        <v>51800.917000000001</v>
      </c>
      <c r="E22" s="173">
        <v>16609.073</v>
      </c>
      <c r="F22" s="173">
        <v>59338.476259999952</v>
      </c>
      <c r="G22" s="173">
        <v>63923.83</v>
      </c>
      <c r="H22" s="173">
        <v>138856.5919806984</v>
      </c>
      <c r="I22" s="173">
        <v>347134.57500000001</v>
      </c>
      <c r="J22" s="172">
        <v>51456.213649999991</v>
      </c>
      <c r="K22" s="173">
        <v>106482.70699999999</v>
      </c>
      <c r="L22" s="173">
        <v>50581.961711550539</v>
      </c>
      <c r="M22" s="173">
        <v>160099.11600000001</v>
      </c>
      <c r="N22" s="173">
        <v>48548.595000000001</v>
      </c>
      <c r="O22" s="173">
        <v>435182.48117000022</v>
      </c>
      <c r="P22" s="173">
        <v>7096.7569999999996</v>
      </c>
      <c r="Q22" s="151">
        <f t="shared" si="0"/>
        <v>1580791.566035249</v>
      </c>
      <c r="R22" s="151"/>
    </row>
    <row r="23" spans="1:19" ht="20.100000000000001" customHeight="1" x14ac:dyDescent="0.2">
      <c r="A23" s="150" t="s">
        <v>70</v>
      </c>
      <c r="B23" s="172">
        <v>-42401.325262999999</v>
      </c>
      <c r="C23" s="173">
        <v>3841.93</v>
      </c>
      <c r="D23" s="173">
        <v>825.327</v>
      </c>
      <c r="E23" s="173">
        <v>-7207.5010000000002</v>
      </c>
      <c r="F23" s="173">
        <v>7279.3870315253707</v>
      </c>
      <c r="G23" s="173">
        <v>6020.3310000000001</v>
      </c>
      <c r="H23" s="173">
        <v>65884.836726531954</v>
      </c>
      <c r="I23" s="173">
        <v>96695.433999999994</v>
      </c>
      <c r="J23" s="172">
        <v>81082.266300000047</v>
      </c>
      <c r="K23" s="173">
        <v>-4370.1419999999998</v>
      </c>
      <c r="L23" s="173">
        <v>-46733.382116043394</v>
      </c>
      <c r="M23" s="173">
        <v>-3851.6759999999999</v>
      </c>
      <c r="N23" s="173">
        <v>-24017.615214025245</v>
      </c>
      <c r="O23" s="173">
        <v>49788.595807733815</v>
      </c>
      <c r="P23" s="173">
        <v>3708.57</v>
      </c>
      <c r="Q23" s="151">
        <f t="shared" si="0"/>
        <v>186545.03627272253</v>
      </c>
      <c r="R23" s="151"/>
      <c r="S23" s="173"/>
    </row>
    <row r="24" spans="1:19" ht="20.100000000000001" customHeight="1" x14ac:dyDescent="0.2">
      <c r="A24" s="150" t="s">
        <v>71</v>
      </c>
      <c r="B24" s="172">
        <v>-2244.8850000000002</v>
      </c>
      <c r="C24" s="173">
        <v>1334.59</v>
      </c>
      <c r="D24" s="173">
        <v>21444.491000000002</v>
      </c>
      <c r="E24" s="173">
        <v>10813.787</v>
      </c>
      <c r="F24" s="173">
        <v>1588.107</v>
      </c>
      <c r="G24" s="173">
        <v>0</v>
      </c>
      <c r="H24" s="173">
        <v>37595.382433359831</v>
      </c>
      <c r="I24" s="173">
        <v>122024.66800000001</v>
      </c>
      <c r="J24" s="172">
        <v>28541.896549999998</v>
      </c>
      <c r="K24" s="173">
        <v>5329.65</v>
      </c>
      <c r="L24" s="173">
        <v>943.85799461754004</v>
      </c>
      <c r="M24" s="173">
        <v>41910.646999999997</v>
      </c>
      <c r="N24" s="173">
        <v>26099.446</v>
      </c>
      <c r="O24" s="173">
        <v>148648.20575999998</v>
      </c>
      <c r="P24" s="173">
        <v>606.86800000000005</v>
      </c>
      <c r="Q24" s="151">
        <f t="shared" si="0"/>
        <v>444636.7117379774</v>
      </c>
      <c r="R24" s="151"/>
    </row>
    <row r="25" spans="1:19" ht="20.100000000000001" customHeight="1" x14ac:dyDescent="0.2">
      <c r="A25" s="150" t="s">
        <v>72</v>
      </c>
      <c r="B25" s="172">
        <v>-44646.210262999994</v>
      </c>
      <c r="C25" s="173">
        <v>5176.5200000000004</v>
      </c>
      <c r="D25" s="173">
        <v>22269.817999999999</v>
      </c>
      <c r="E25" s="173">
        <v>3606.2860000000001</v>
      </c>
      <c r="F25" s="173">
        <v>8867.4940315253698</v>
      </c>
      <c r="G25" s="173">
        <v>6020.3310000000001</v>
      </c>
      <c r="H25" s="173">
        <v>103480.2191598918</v>
      </c>
      <c r="I25" s="173">
        <v>218720.10200000001</v>
      </c>
      <c r="J25" s="172">
        <v>109624.16285000004</v>
      </c>
      <c r="K25" s="173">
        <v>959.50800000000004</v>
      </c>
      <c r="L25" s="173">
        <v>-45789.524121425849</v>
      </c>
      <c r="M25" s="173">
        <v>38058.970999999998</v>
      </c>
      <c r="N25" s="173">
        <v>2081.8307859747601</v>
      </c>
      <c r="O25" s="173">
        <v>198436.80156773381</v>
      </c>
      <c r="P25" s="173">
        <v>4315.4380000000001</v>
      </c>
      <c r="Q25" s="151">
        <f t="shared" si="0"/>
        <v>631181.74801069987</v>
      </c>
      <c r="R25" s="151"/>
    </row>
    <row r="26" spans="1:19" ht="20.100000000000001" customHeight="1" x14ac:dyDescent="0.2">
      <c r="A26" s="150" t="s">
        <v>73</v>
      </c>
      <c r="B26" s="172">
        <v>-5969.2790000000005</v>
      </c>
      <c r="C26" s="173">
        <v>0</v>
      </c>
      <c r="D26" s="173">
        <v>0</v>
      </c>
      <c r="E26" s="173">
        <v>897.87599999999998</v>
      </c>
      <c r="F26" s="173">
        <v>0</v>
      </c>
      <c r="G26" s="173">
        <v>0</v>
      </c>
      <c r="H26" s="173">
        <v>0</v>
      </c>
      <c r="I26" s="173">
        <v>18823.120999999999</v>
      </c>
      <c r="J26" s="151">
        <v>17943.662059999999</v>
      </c>
      <c r="K26" s="173">
        <v>0</v>
      </c>
      <c r="L26" s="173">
        <v>0</v>
      </c>
      <c r="M26" s="173">
        <v>5892.7520000000004</v>
      </c>
      <c r="N26" s="173">
        <v>339.471</v>
      </c>
      <c r="O26" s="173">
        <v>15296.902</v>
      </c>
      <c r="P26" s="173">
        <v>0</v>
      </c>
      <c r="Q26" s="151">
        <f t="shared" si="0"/>
        <v>53224.505059999996</v>
      </c>
      <c r="R26" s="151"/>
    </row>
    <row r="27" spans="1:19" ht="14.25" x14ac:dyDescent="0.2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ht="14.25" x14ac:dyDescent="0.2">
      <c r="A28" s="153" t="s">
        <v>87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ht="14.25" x14ac:dyDescent="0.2">
      <c r="A29" s="169" t="s">
        <v>88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</sheetData>
  <mergeCells count="3">
    <mergeCell ref="A2:Q2"/>
    <mergeCell ref="A3:Q3"/>
    <mergeCell ref="A4:Q4"/>
  </mergeCells>
  <pageMargins left="0.7" right="0.7" top="0.75" bottom="0.75" header="0.3" footer="0.3"/>
  <pageSetup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29"/>
  <sheetViews>
    <sheetView zoomScale="85" zoomScaleNormal="85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A4" sqref="A4:Q4"/>
    </sheetView>
  </sheetViews>
  <sheetFormatPr defaultRowHeight="12.75" x14ac:dyDescent="0.2"/>
  <cols>
    <col min="1" max="1" width="54.28515625" bestFit="1" customWidth="1"/>
    <col min="2" max="2" width="11.85546875" customWidth="1"/>
    <col min="3" max="3" width="9.5703125" bestFit="1" customWidth="1"/>
    <col min="4" max="4" width="10.28515625" bestFit="1" customWidth="1"/>
    <col min="6" max="7" width="10.28515625" bestFit="1" customWidth="1"/>
    <col min="8" max="9" width="12.140625" bestFit="1" customWidth="1"/>
    <col min="10" max="11" width="10.28515625" bestFit="1" customWidth="1"/>
    <col min="12" max="12" width="10.85546875" bestFit="1" customWidth="1"/>
    <col min="13" max="14" width="10.28515625" bestFit="1" customWidth="1"/>
    <col min="15" max="15" width="12.140625" bestFit="1" customWidth="1"/>
    <col min="16" max="16" width="14.28515625" customWidth="1"/>
    <col min="17" max="17" width="15.5703125" bestFit="1" customWidth="1"/>
  </cols>
  <sheetData>
    <row r="1" spans="1:17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5.75" x14ac:dyDescent="0.25">
      <c r="A3" s="174" t="s">
        <v>86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4.25" customHeight="1" x14ac:dyDescent="0.2">
      <c r="A4" s="175" t="s">
        <v>37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s="3" customFormat="1" ht="30.75" customHeight="1" x14ac:dyDescent="0.2">
      <c r="A5" s="147"/>
      <c r="B5" s="148" t="s">
        <v>95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89</v>
      </c>
      <c r="M5" s="148" t="s">
        <v>10</v>
      </c>
      <c r="N5" s="148" t="s">
        <v>11</v>
      </c>
      <c r="O5" s="148" t="s">
        <v>12</v>
      </c>
      <c r="P5" s="155" t="s">
        <v>90</v>
      </c>
      <c r="Q5" s="149" t="s">
        <v>13</v>
      </c>
    </row>
    <row r="6" spans="1:17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7" ht="20.100000000000001" customHeight="1" x14ac:dyDescent="0.2">
      <c r="A7" s="152" t="s">
        <v>57</v>
      </c>
      <c r="B7" s="151">
        <v>124065.041</v>
      </c>
      <c r="C7" s="151">
        <v>60968.230239999997</v>
      </c>
      <c r="D7" s="151">
        <v>183769.83199999999</v>
      </c>
      <c r="E7" s="151">
        <v>59036.765399999997</v>
      </c>
      <c r="F7" s="151">
        <v>316414.897</v>
      </c>
      <c r="G7" s="151">
        <v>233399.35080999995</v>
      </c>
      <c r="H7" s="151">
        <v>1166440.8617700001</v>
      </c>
      <c r="I7" s="151">
        <v>1905218.054867801</v>
      </c>
      <c r="J7" s="151">
        <v>335585.59477500001</v>
      </c>
      <c r="K7" s="151">
        <v>343610.66100000002</v>
      </c>
      <c r="L7" s="151">
        <v>42525.419000000002</v>
      </c>
      <c r="M7" s="151">
        <v>732368.11368999991</v>
      </c>
      <c r="N7" s="151">
        <v>94912.02</v>
      </c>
      <c r="O7" s="151">
        <v>2401073.6469999999</v>
      </c>
      <c r="P7" s="151">
        <v>132006.69699999999</v>
      </c>
      <c r="Q7" s="151">
        <f>SUM(B7:P7)</f>
        <v>8131395.1855528001</v>
      </c>
    </row>
    <row r="8" spans="1:17" ht="20.100000000000001" customHeight="1" x14ac:dyDescent="0.2">
      <c r="A8" s="152" t="s">
        <v>16</v>
      </c>
      <c r="B8" s="151">
        <v>1966.251</v>
      </c>
      <c r="C8" s="151">
        <v>46038.50387</v>
      </c>
      <c r="D8" s="151">
        <v>8885.6219999999994</v>
      </c>
      <c r="E8" s="151">
        <v>8652.2151237711223</v>
      </c>
      <c r="F8" s="151">
        <v>73186.908420000007</v>
      </c>
      <c r="G8" s="151">
        <v>19932.440581475537</v>
      </c>
      <c r="H8" s="151">
        <v>643465.49754999985</v>
      </c>
      <c r="I8" s="151">
        <v>373971.76228000002</v>
      </c>
      <c r="J8" s="151">
        <v>51616.447339999999</v>
      </c>
      <c r="K8" s="151">
        <v>22611.386999999999</v>
      </c>
      <c r="L8" s="151">
        <v>15831.166789794821</v>
      </c>
      <c r="M8" s="151">
        <v>359756.49099999998</v>
      </c>
      <c r="N8" s="151">
        <v>11066.424999999999</v>
      </c>
      <c r="O8" s="151">
        <v>1055723.1255015996</v>
      </c>
      <c r="P8" s="151">
        <v>132006.69699999999</v>
      </c>
      <c r="Q8" s="151">
        <f t="shared" ref="Q8:Q26" si="0">SUM(B8:P8)</f>
        <v>2824710.9404566414</v>
      </c>
    </row>
    <row r="9" spans="1:17" ht="20.100000000000001" customHeight="1" x14ac:dyDescent="0.2">
      <c r="A9" s="152" t="s">
        <v>58</v>
      </c>
      <c r="B9" s="151">
        <v>122098.79</v>
      </c>
      <c r="C9" s="151">
        <v>14929.726369999998</v>
      </c>
      <c r="D9" s="151">
        <v>174884.21</v>
      </c>
      <c r="E9" s="151">
        <v>50384.550276228889</v>
      </c>
      <c r="F9" s="151">
        <v>243227.98858</v>
      </c>
      <c r="G9" s="151">
        <v>213466.91022852447</v>
      </c>
      <c r="H9" s="151">
        <v>522975.36421999999</v>
      </c>
      <c r="I9" s="151">
        <v>1531246.2925878004</v>
      </c>
      <c r="J9" s="151">
        <v>283969.14743499988</v>
      </c>
      <c r="K9" s="151">
        <v>320999.27399999998</v>
      </c>
      <c r="L9" s="151">
        <v>26694.252210205192</v>
      </c>
      <c r="M9" s="151">
        <v>372611.62268999987</v>
      </c>
      <c r="N9" s="151">
        <v>83845.595000000001</v>
      </c>
      <c r="O9" s="151">
        <v>1345350.5214984005</v>
      </c>
      <c r="P9" s="151">
        <v>0</v>
      </c>
      <c r="Q9" s="151">
        <f t="shared" si="0"/>
        <v>5306684.2450961592</v>
      </c>
    </row>
    <row r="10" spans="1:17" ht="20.100000000000001" customHeight="1" x14ac:dyDescent="0.2">
      <c r="A10" s="152" t="s">
        <v>59</v>
      </c>
      <c r="B10" s="151">
        <v>10115.475</v>
      </c>
      <c r="C10" s="151">
        <v>-922.20538999999997</v>
      </c>
      <c r="D10" s="151">
        <v>8197.25</v>
      </c>
      <c r="E10" s="151">
        <v>11522.484</v>
      </c>
      <c r="F10" s="151">
        <v>51375.688000000002</v>
      </c>
      <c r="G10" s="151">
        <v>7882.9904591278282</v>
      </c>
      <c r="H10" s="151">
        <v>41166.294999123966</v>
      </c>
      <c r="I10" s="151">
        <v>12160.803740000028</v>
      </c>
      <c r="J10" s="151">
        <v>17913.417565</v>
      </c>
      <c r="K10" s="151">
        <v>8639.3979999999992</v>
      </c>
      <c r="L10" s="151">
        <v>14993.624</v>
      </c>
      <c r="M10" s="151">
        <v>9750.5059999999994</v>
      </c>
      <c r="N10" s="151">
        <v>-5639.8909999999996</v>
      </c>
      <c r="O10" s="151">
        <v>88882.922999999995</v>
      </c>
      <c r="P10" s="151">
        <v>0</v>
      </c>
      <c r="Q10" s="151">
        <f t="shared" si="0"/>
        <v>276038.75837325183</v>
      </c>
    </row>
    <row r="11" spans="1:17" ht="20.100000000000001" customHeight="1" x14ac:dyDescent="0.2">
      <c r="A11" s="152" t="s">
        <v>60</v>
      </c>
      <c r="B11" s="151">
        <v>132214.26500000001</v>
      </c>
      <c r="C11" s="151">
        <v>15851.931760000009</v>
      </c>
      <c r="D11" s="151">
        <v>166686.96</v>
      </c>
      <c r="E11" s="151">
        <v>38862.066276228885</v>
      </c>
      <c r="F11" s="151">
        <v>191852.30057999998</v>
      </c>
      <c r="G11" s="151">
        <v>205583.9197693966</v>
      </c>
      <c r="H11" s="151">
        <v>481809.06922087609</v>
      </c>
      <c r="I11" s="151">
        <v>1519085.4888478008</v>
      </c>
      <c r="J11" s="151">
        <v>266055.72986999998</v>
      </c>
      <c r="K11" s="151">
        <f>312359876/1000</f>
        <v>312359.87599999999</v>
      </c>
      <c r="L11" s="151">
        <v>11700.628210205181</v>
      </c>
      <c r="M11" s="151">
        <v>362861.11668999988</v>
      </c>
      <c r="N11" s="151">
        <v>89485.486000000004</v>
      </c>
      <c r="O11" s="151">
        <v>1256467.5984984005</v>
      </c>
      <c r="P11" s="151">
        <v>0</v>
      </c>
      <c r="Q11" s="151">
        <f t="shared" si="0"/>
        <v>5050876.4367229082</v>
      </c>
    </row>
    <row r="12" spans="1:17" ht="20.100000000000001" customHeight="1" x14ac:dyDescent="0.2">
      <c r="A12" s="156" t="s">
        <v>67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>
        <f t="shared" si="0"/>
        <v>0</v>
      </c>
    </row>
    <row r="13" spans="1:17" ht="20.100000000000001" customHeight="1" x14ac:dyDescent="0.2">
      <c r="A13" s="152" t="s">
        <v>57</v>
      </c>
      <c r="B13" s="151">
        <v>102912.02899999999</v>
      </c>
      <c r="C13" s="151">
        <v>21179.69529</v>
      </c>
      <c r="D13" s="151">
        <v>113285.33</v>
      </c>
      <c r="E13" s="151">
        <v>37877.633929999996</v>
      </c>
      <c r="F13" s="151">
        <v>190997.05082999999</v>
      </c>
      <c r="G13" s="151">
        <v>124937.86359000001</v>
      </c>
      <c r="H13" s="151">
        <v>523388.45233999996</v>
      </c>
      <c r="I13" s="151">
        <v>1040733.3728800004</v>
      </c>
      <c r="J13" s="151">
        <v>231667.37595959991</v>
      </c>
      <c r="K13" s="151">
        <v>224972.698</v>
      </c>
      <c r="L13" s="151">
        <v>20936.05</v>
      </c>
      <c r="M13" s="151">
        <v>468453.57484000013</v>
      </c>
      <c r="N13" s="151">
        <v>123721.336</v>
      </c>
      <c r="O13" s="151">
        <v>1330399.0530000001</v>
      </c>
      <c r="P13" s="151">
        <v>493.78</v>
      </c>
      <c r="Q13" s="151">
        <f t="shared" si="0"/>
        <v>4555955.2956596008</v>
      </c>
    </row>
    <row r="14" spans="1:17" ht="20.100000000000001" customHeight="1" x14ac:dyDescent="0.2">
      <c r="A14" s="152" t="s">
        <v>16</v>
      </c>
      <c r="B14" s="151">
        <v>0</v>
      </c>
      <c r="C14" s="151">
        <v>14647.9061</v>
      </c>
      <c r="D14" s="151">
        <v>35372.995999999999</v>
      </c>
      <c r="E14" s="151">
        <v>9063.649449999999</v>
      </c>
      <c r="F14" s="151">
        <v>71289.353010000021</v>
      </c>
      <c r="G14" s="151">
        <v>7314.7079299999996</v>
      </c>
      <c r="H14" s="151">
        <v>245478.56339000002</v>
      </c>
      <c r="I14" s="151">
        <v>151242.31416000001</v>
      </c>
      <c r="J14" s="151">
        <v>132648.04147</v>
      </c>
      <c r="K14" s="151">
        <v>51885.188000000002</v>
      </c>
      <c r="L14" s="151">
        <v>13189.797</v>
      </c>
      <c r="M14" s="151">
        <v>226897.32055</v>
      </c>
      <c r="N14" s="151">
        <v>44232.201999999997</v>
      </c>
      <c r="O14" s="151">
        <v>497291.89199999999</v>
      </c>
      <c r="P14" s="151">
        <v>493.78</v>
      </c>
      <c r="Q14" s="151">
        <f t="shared" si="0"/>
        <v>1501047.7110600001</v>
      </c>
    </row>
    <row r="15" spans="1:17" ht="20.100000000000001" customHeight="1" x14ac:dyDescent="0.2">
      <c r="A15" s="152" t="s">
        <v>58</v>
      </c>
      <c r="B15" s="151">
        <v>102912.02899999999</v>
      </c>
      <c r="C15" s="151">
        <v>6531.7891899999995</v>
      </c>
      <c r="D15" s="151">
        <v>77912.334000000003</v>
      </c>
      <c r="E15" s="151">
        <v>28813.984479999999</v>
      </c>
      <c r="F15" s="151">
        <v>119707.69782</v>
      </c>
      <c r="G15" s="151">
        <v>117623.15565999999</v>
      </c>
      <c r="H15" s="151">
        <v>277909.88894999999</v>
      </c>
      <c r="I15" s="151">
        <v>889491.05871999997</v>
      </c>
      <c r="J15" s="151">
        <v>99019.334489599962</v>
      </c>
      <c r="K15" s="151">
        <v>173087.51</v>
      </c>
      <c r="L15" s="151">
        <v>7746.2529999999997</v>
      </c>
      <c r="M15" s="151">
        <v>241556.25429000001</v>
      </c>
      <c r="N15" s="151">
        <v>79489.134000000005</v>
      </c>
      <c r="O15" s="151">
        <v>833107.16099999996</v>
      </c>
      <c r="P15" s="151">
        <v>0</v>
      </c>
      <c r="Q15" s="151">
        <f t="shared" si="0"/>
        <v>3054907.5845996002</v>
      </c>
    </row>
    <row r="16" spans="1:17" ht="20.100000000000001" customHeight="1" x14ac:dyDescent="0.2">
      <c r="A16" s="152" t="s">
        <v>61</v>
      </c>
      <c r="B16" s="151">
        <v>12911.761</v>
      </c>
      <c r="C16" s="151">
        <v>-2784.8670000000002</v>
      </c>
      <c r="D16" s="151">
        <v>22991.154999999999</v>
      </c>
      <c r="E16" s="151">
        <v>-541.76224000000002</v>
      </c>
      <c r="F16" s="151">
        <v>813.99846400000001</v>
      </c>
      <c r="G16" s="151">
        <v>1397.09023</v>
      </c>
      <c r="H16" s="151">
        <v>8256.680255961659</v>
      </c>
      <c r="I16" s="151">
        <v>27304.585479999991</v>
      </c>
      <c r="J16" s="151">
        <v>734.30389000001014</v>
      </c>
      <c r="K16" s="151">
        <f>14465809/1000</f>
        <v>14465.808999999999</v>
      </c>
      <c r="L16" s="151">
        <v>12349.924000000001</v>
      </c>
      <c r="M16" s="151">
        <v>-25217.475662560028</v>
      </c>
      <c r="N16" s="151">
        <v>-22688.112000000001</v>
      </c>
      <c r="O16" s="151">
        <v>29257.659197000015</v>
      </c>
      <c r="P16" s="151">
        <v>0</v>
      </c>
      <c r="Q16" s="151">
        <f t="shared" si="0"/>
        <v>79250.749614401633</v>
      </c>
    </row>
    <row r="17" spans="1:17" ht="20.100000000000001" customHeight="1" x14ac:dyDescent="0.2">
      <c r="A17" s="152" t="s">
        <v>62</v>
      </c>
      <c r="B17" s="151">
        <v>115823.79</v>
      </c>
      <c r="C17" s="151">
        <v>3746.9221899999998</v>
      </c>
      <c r="D17" s="151">
        <v>100903.489</v>
      </c>
      <c r="E17" s="151">
        <v>28272.22224000001</v>
      </c>
      <c r="F17" s="151">
        <v>120521.69628399999</v>
      </c>
      <c r="G17" s="151">
        <v>119020.24589000003</v>
      </c>
      <c r="H17" s="151">
        <v>286166.5692059616</v>
      </c>
      <c r="I17" s="151">
        <v>916795.6442000001</v>
      </c>
      <c r="J17" s="151">
        <v>99753.638379600015</v>
      </c>
      <c r="K17" s="151">
        <f>187553319/1000</f>
        <v>187553.31899999999</v>
      </c>
      <c r="L17" s="151">
        <v>20096.177</v>
      </c>
      <c r="M17" s="151">
        <v>216338.77862743998</v>
      </c>
      <c r="N17" s="151">
        <v>56801.021999999997</v>
      </c>
      <c r="O17" s="151">
        <v>862364.82019699994</v>
      </c>
      <c r="P17" s="151">
        <v>0</v>
      </c>
      <c r="Q17" s="151">
        <f t="shared" si="0"/>
        <v>3134158.334214001</v>
      </c>
    </row>
    <row r="18" spans="1:17" ht="20.100000000000001" customHeight="1" x14ac:dyDescent="0.2">
      <c r="A18" s="156" t="s">
        <v>68</v>
      </c>
      <c r="B18" s="146">
        <v>0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>
        <f t="shared" si="0"/>
        <v>0</v>
      </c>
    </row>
    <row r="19" spans="1:17" ht="20.100000000000001" customHeight="1" x14ac:dyDescent="0.2">
      <c r="A19" s="152" t="s">
        <v>63</v>
      </c>
      <c r="B19" s="151">
        <v>22.111999999999998</v>
      </c>
      <c r="C19" s="151">
        <v>11415.741330000001</v>
      </c>
      <c r="D19" s="151">
        <v>1801.501</v>
      </c>
      <c r="E19" s="151">
        <v>2078.7293337936203</v>
      </c>
      <c r="F19" s="151">
        <v>16987.625</v>
      </c>
      <c r="G19" s="151">
        <v>3440.1639299999997</v>
      </c>
      <c r="H19" s="151">
        <v>81584.832380000022</v>
      </c>
      <c r="I19" s="151">
        <v>109432.69288500004</v>
      </c>
      <c r="J19" s="151">
        <v>5998.4396399999996</v>
      </c>
      <c r="K19" s="151">
        <v>3016.4479999999999</v>
      </c>
      <c r="L19" s="151">
        <v>1790.155</v>
      </c>
      <c r="M19" s="151">
        <v>54060.000549999997</v>
      </c>
      <c r="N19" s="151">
        <v>2363.0859999999998</v>
      </c>
      <c r="O19" s="151">
        <v>255322.84099999999</v>
      </c>
      <c r="P19" s="151">
        <v>18555.330000000002</v>
      </c>
      <c r="Q19" s="151">
        <f t="shared" si="0"/>
        <v>567869.69804879359</v>
      </c>
    </row>
    <row r="20" spans="1:17" ht="20.100000000000001" customHeight="1" x14ac:dyDescent="0.2">
      <c r="A20" s="152" t="s">
        <v>64</v>
      </c>
      <c r="B20" s="151">
        <v>4349.8249999999998</v>
      </c>
      <c r="C20" s="151">
        <v>720.30323999999996</v>
      </c>
      <c r="D20" s="151">
        <v>8748.0310000000009</v>
      </c>
      <c r="E20" s="151">
        <v>5140.8920400000097</v>
      </c>
      <c r="F20" s="151">
        <v>25241.317999999999</v>
      </c>
      <c r="G20" s="151">
        <v>25530.949259999998</v>
      </c>
      <c r="H20" s="151">
        <v>117864.29122</v>
      </c>
      <c r="I20" s="151">
        <v>264148.80157000001</v>
      </c>
      <c r="J20" s="151">
        <v>42072.653902999969</v>
      </c>
      <c r="K20" s="151">
        <v>31379.493999999999</v>
      </c>
      <c r="L20" s="151">
        <v>0</v>
      </c>
      <c r="M20" s="151">
        <v>35599.004439999982</v>
      </c>
      <c r="N20" s="151">
        <v>6553.0280000000002</v>
      </c>
      <c r="O20" s="151">
        <v>220921.842</v>
      </c>
      <c r="P20" s="151">
        <v>5398.424</v>
      </c>
      <c r="Q20" s="151">
        <f t="shared" si="0"/>
        <v>793668.85767299996</v>
      </c>
    </row>
    <row r="21" spans="1:17" ht="20.100000000000001" customHeight="1" x14ac:dyDescent="0.2">
      <c r="A21" s="152" t="s">
        <v>58</v>
      </c>
      <c r="B21" s="151">
        <v>-4327.7129999999997</v>
      </c>
      <c r="C21" s="151">
        <v>10695.43809</v>
      </c>
      <c r="D21" s="151">
        <v>-6946.53</v>
      </c>
      <c r="E21" s="151">
        <v>-3062.1627062063899</v>
      </c>
      <c r="F21" s="151">
        <v>-8253.6929999999993</v>
      </c>
      <c r="G21" s="151">
        <v>-22090.785330000002</v>
      </c>
      <c r="H21" s="151">
        <v>-36279.458839999999</v>
      </c>
      <c r="I21" s="151">
        <v>-154716.10868499996</v>
      </c>
      <c r="J21" s="151">
        <v>-36074.214262999965</v>
      </c>
      <c r="K21" s="151">
        <f>-28363046/1000</f>
        <v>-28363.045999999998</v>
      </c>
      <c r="L21" s="151">
        <v>1790.155</v>
      </c>
      <c r="M21" s="151">
        <v>18460.99611</v>
      </c>
      <c r="N21" s="151">
        <v>-4189.942</v>
      </c>
      <c r="O21" s="151">
        <v>34400.998999999982</v>
      </c>
      <c r="P21" s="151">
        <v>13156.906000000001</v>
      </c>
      <c r="Q21" s="151">
        <f t="shared" si="0"/>
        <v>-225799.15962420631</v>
      </c>
    </row>
    <row r="22" spans="1:17" ht="20.100000000000001" customHeight="1" x14ac:dyDescent="0.2">
      <c r="A22" s="150" t="s">
        <v>69</v>
      </c>
      <c r="B22" s="151">
        <v>12735.776</v>
      </c>
      <c r="C22" s="151">
        <v>18004.658309999999</v>
      </c>
      <c r="D22" s="151">
        <v>50565.796000000002</v>
      </c>
      <c r="E22" s="151">
        <v>17192.03</v>
      </c>
      <c r="F22" s="151">
        <v>58736.064330000023</v>
      </c>
      <c r="G22" s="151">
        <v>59155.882789999996</v>
      </c>
      <c r="H22" s="151">
        <v>157280.21531916707</v>
      </c>
      <c r="I22" s="151">
        <v>323779.49200000003</v>
      </c>
      <c r="J22" s="151">
        <v>44440.643180000021</v>
      </c>
      <c r="K22" s="151">
        <v>95983.073999999993</v>
      </c>
      <c r="L22" s="151">
        <v>46405.572</v>
      </c>
      <c r="M22" s="151">
        <v>145607.71461</v>
      </c>
      <c r="N22" s="151">
        <v>53514.459000000003</v>
      </c>
      <c r="O22" s="151">
        <v>406862.01960668742</v>
      </c>
      <c r="P22" s="151">
        <v>6583.8806490870802</v>
      </c>
      <c r="Q22" s="151">
        <f t="shared" si="0"/>
        <v>1496847.2777949416</v>
      </c>
    </row>
    <row r="23" spans="1:17" ht="20.100000000000001" customHeight="1" x14ac:dyDescent="0.2">
      <c r="A23" s="150" t="s">
        <v>70</v>
      </c>
      <c r="B23" s="151">
        <v>-673.01400000000001</v>
      </c>
      <c r="C23" s="151">
        <v>4795.78935000001</v>
      </c>
      <c r="D23" s="151">
        <v>8271.1450000000004</v>
      </c>
      <c r="E23" s="151">
        <v>-9664.3486699775203</v>
      </c>
      <c r="F23" s="151">
        <v>4340.8469659999892</v>
      </c>
      <c r="G23" s="151">
        <v>5317.0057593965812</v>
      </c>
      <c r="H23" s="151">
        <v>2082.8258557474105</v>
      </c>
      <c r="I23" s="151">
        <v>123794.24396280006</v>
      </c>
      <c r="J23" s="151">
        <v>85787.234047400023</v>
      </c>
      <c r="K23" s="151">
        <f>460437/1000</f>
        <v>460.43700000000001</v>
      </c>
      <c r="L23" s="151">
        <v>-7622.8337897948104</v>
      </c>
      <c r="M23" s="151">
        <v>19375.619562559947</v>
      </c>
      <c r="N23" s="151">
        <v>-25019.937000000002</v>
      </c>
      <c r="O23" s="151">
        <v>21641.757694712855</v>
      </c>
      <c r="P23" s="151">
        <v>6573.0253509129197</v>
      </c>
      <c r="Q23" s="151">
        <f t="shared" si="0"/>
        <v>239459.79708975743</v>
      </c>
    </row>
    <row r="24" spans="1:17" ht="20.100000000000001" customHeight="1" x14ac:dyDescent="0.2">
      <c r="A24" s="150" t="s">
        <v>71</v>
      </c>
      <c r="B24" s="151">
        <v>-4676.0360000000001</v>
      </c>
      <c r="C24" s="151">
        <v>3010.3372899999999</v>
      </c>
      <c r="D24" s="151">
        <v>20547.398000000001</v>
      </c>
      <c r="E24" s="151">
        <v>12722.424999999999</v>
      </c>
      <c r="F24" s="151">
        <v>961.34400000000005</v>
      </c>
      <c r="G24" s="151">
        <v>6147.3488799999996</v>
      </c>
      <c r="H24" s="151">
        <v>113066.88737000001</v>
      </c>
      <c r="I24" s="151">
        <v>111102.20664831472</v>
      </c>
      <c r="J24" s="151">
        <v>27189.228700000011</v>
      </c>
      <c r="K24" s="151">
        <v>4916.1419999999998</v>
      </c>
      <c r="L24" s="151">
        <v>0</v>
      </c>
      <c r="M24" s="151">
        <v>46923.169176440861</v>
      </c>
      <c r="N24" s="151">
        <v>18178.004000000001</v>
      </c>
      <c r="O24" s="151">
        <v>151241.62099126636</v>
      </c>
      <c r="P24" s="151">
        <v>655.33900000000006</v>
      </c>
      <c r="Q24" s="151">
        <f t="shared" si="0"/>
        <v>511985.41505602194</v>
      </c>
    </row>
    <row r="25" spans="1:17" ht="20.100000000000001" customHeight="1" x14ac:dyDescent="0.2">
      <c r="A25" s="150" t="s">
        <v>72</v>
      </c>
      <c r="B25" s="151">
        <v>-5349.05</v>
      </c>
      <c r="C25" s="151">
        <v>7806.1266400000095</v>
      </c>
      <c r="D25" s="151">
        <v>28818.543000000001</v>
      </c>
      <c r="E25" s="151">
        <v>3058.0763300224799</v>
      </c>
      <c r="F25" s="151">
        <v>5302.190965999991</v>
      </c>
      <c r="G25" s="151">
        <v>11464.354639396568</v>
      </c>
      <c r="H25" s="151">
        <v>115149.71322574741</v>
      </c>
      <c r="I25" s="151">
        <v>234896.45061111468</v>
      </c>
      <c r="J25" s="151">
        <v>112976.46274740004</v>
      </c>
      <c r="K25" s="151">
        <f>5376579/1000</f>
        <v>5376.5789999999997</v>
      </c>
      <c r="L25" s="151">
        <v>-7622.8337897948104</v>
      </c>
      <c r="M25" s="151">
        <v>66298.788739000811</v>
      </c>
      <c r="N25" s="151">
        <v>-6841.933</v>
      </c>
      <c r="O25" s="151">
        <v>172883.37868597923</v>
      </c>
      <c r="P25" s="151">
        <v>7228.3643509129197</v>
      </c>
      <c r="Q25" s="151">
        <f t="shared" si="0"/>
        <v>751445.2121457794</v>
      </c>
    </row>
    <row r="26" spans="1:17" ht="20.100000000000001" customHeight="1" x14ac:dyDescent="0.2">
      <c r="A26" s="150" t="s">
        <v>73</v>
      </c>
      <c r="B26" s="151">
        <v>167.11109999999999</v>
      </c>
      <c r="C26" s="151">
        <v>1044.5228099496301</v>
      </c>
      <c r="D26" s="151">
        <v>4468.3149999999996</v>
      </c>
      <c r="E26" s="151">
        <v>0</v>
      </c>
      <c r="F26" s="151">
        <v>1861.7909999999999</v>
      </c>
      <c r="G26" s="151">
        <v>2304.6990000000001</v>
      </c>
      <c r="H26" s="151">
        <v>12200.50373</v>
      </c>
      <c r="I26" s="151">
        <v>11797.1757</v>
      </c>
      <c r="J26" s="151">
        <v>17184.238519999999</v>
      </c>
      <c r="K26" s="151">
        <v>3891.4960000000001</v>
      </c>
      <c r="L26" s="151">
        <v>0</v>
      </c>
      <c r="M26" s="151">
        <v>9798.1826600000004</v>
      </c>
      <c r="N26" s="151">
        <v>0</v>
      </c>
      <c r="O26" s="151">
        <v>12198.098</v>
      </c>
      <c r="P26" s="151">
        <v>0</v>
      </c>
      <c r="Q26" s="151">
        <f t="shared" si="0"/>
        <v>76916.133519949624</v>
      </c>
    </row>
    <row r="27" spans="1:17" ht="14.25" x14ac:dyDescent="0.2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14.25" x14ac:dyDescent="0.2">
      <c r="A28" s="153" t="s">
        <v>87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14.25" x14ac:dyDescent="0.2">
      <c r="A29" s="169" t="s">
        <v>88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</sheetData>
  <mergeCells count="3">
    <mergeCell ref="A2:Q2"/>
    <mergeCell ref="A3:Q3"/>
    <mergeCell ref="A4:Q4"/>
  </mergeCells>
  <pageMargins left="0.7" right="0.7" top="0.75" bottom="0.75" header="0.3" footer="0.3"/>
  <pageSetup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3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:Q4"/>
    </sheetView>
  </sheetViews>
  <sheetFormatPr defaultRowHeight="12.75" x14ac:dyDescent="0.2"/>
  <cols>
    <col min="1" max="1" width="54.28515625" bestFit="1" customWidth="1"/>
    <col min="2" max="2" width="10.28515625" bestFit="1" customWidth="1"/>
    <col min="3" max="3" width="9.5703125" bestFit="1" customWidth="1"/>
    <col min="4" max="4" width="10.28515625" bestFit="1" customWidth="1"/>
    <col min="6" max="7" width="10.28515625" bestFit="1" customWidth="1"/>
    <col min="8" max="9" width="12.140625" bestFit="1" customWidth="1"/>
    <col min="10" max="11" width="10.28515625" bestFit="1" customWidth="1"/>
    <col min="12" max="12" width="10.85546875" bestFit="1" customWidth="1"/>
    <col min="13" max="14" width="10.28515625" bestFit="1" customWidth="1"/>
    <col min="15" max="15" width="12.140625" bestFit="1" customWidth="1"/>
    <col min="16" max="16" width="14.28515625" customWidth="1"/>
    <col min="17" max="17" width="15.5703125" bestFit="1" customWidth="1"/>
  </cols>
  <sheetData>
    <row r="1" spans="1:17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5.75" x14ac:dyDescent="0.25">
      <c r="A3" s="174" t="s">
        <v>84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4.25" customHeight="1" x14ac:dyDescent="0.2">
      <c r="A4" s="175" t="s">
        <v>37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s="3" customFormat="1" ht="30.75" customHeight="1" x14ac:dyDescent="0.2">
      <c r="A5" s="147"/>
      <c r="B5" s="148" t="s">
        <v>76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77</v>
      </c>
      <c r="M5" s="148" t="s">
        <v>10</v>
      </c>
      <c r="N5" s="148" t="s">
        <v>11</v>
      </c>
      <c r="O5" s="148" t="s">
        <v>12</v>
      </c>
      <c r="P5" s="155" t="s">
        <v>78</v>
      </c>
      <c r="Q5" s="149" t="s">
        <v>13</v>
      </c>
    </row>
    <row r="6" spans="1:17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7" ht="20.100000000000001" customHeight="1" x14ac:dyDescent="0.2">
      <c r="A7" s="152" t="s">
        <v>57</v>
      </c>
      <c r="B7" s="151"/>
      <c r="C7" s="151">
        <v>78469</v>
      </c>
      <c r="D7" s="151">
        <v>171992</v>
      </c>
      <c r="E7" s="151">
        <v>45658</v>
      </c>
      <c r="F7" s="151">
        <v>357559</v>
      </c>
      <c r="G7" s="151">
        <v>221337</v>
      </c>
      <c r="H7" s="151">
        <v>1117171.233</v>
      </c>
      <c r="I7" s="151">
        <v>1788935</v>
      </c>
      <c r="J7" s="151">
        <v>313010.26799999998</v>
      </c>
      <c r="K7" s="151">
        <v>319290</v>
      </c>
      <c r="L7" s="151">
        <v>3869</v>
      </c>
      <c r="M7" s="151">
        <v>746387.48</v>
      </c>
      <c r="N7" s="151">
        <v>114353</v>
      </c>
      <c r="O7" s="151">
        <v>2204745</v>
      </c>
      <c r="P7" s="151">
        <v>82862.839000000007</v>
      </c>
      <c r="Q7" s="151">
        <f>SUM(B7:P7)</f>
        <v>7565638.8200000003</v>
      </c>
    </row>
    <row r="8" spans="1:17" ht="20.100000000000001" customHeight="1" x14ac:dyDescent="0.2">
      <c r="A8" s="152" t="s">
        <v>16</v>
      </c>
      <c r="B8" s="151"/>
      <c r="C8" s="151">
        <v>60405</v>
      </c>
      <c r="D8" s="151">
        <v>10469</v>
      </c>
      <c r="E8" s="151">
        <v>3569</v>
      </c>
      <c r="F8" s="151">
        <v>162925</v>
      </c>
      <c r="G8" s="151">
        <v>24167</v>
      </c>
      <c r="H8" s="151">
        <v>624850.68400000001</v>
      </c>
      <c r="I8" s="151">
        <v>373229</v>
      </c>
      <c r="J8" s="151">
        <v>47224</v>
      </c>
      <c r="K8" s="151">
        <v>23568</v>
      </c>
      <c r="L8" s="151">
        <v>499</v>
      </c>
      <c r="M8" s="151">
        <v>405775.44</v>
      </c>
      <c r="N8" s="151">
        <v>17818</v>
      </c>
      <c r="O8" s="151">
        <v>1106383</v>
      </c>
      <c r="P8" s="151">
        <v>82862.839000000007</v>
      </c>
      <c r="Q8" s="151">
        <f t="shared" ref="Q8:Q26" si="0">SUM(B8:P8)</f>
        <v>2943744.963</v>
      </c>
    </row>
    <row r="9" spans="1:17" ht="20.100000000000001" customHeight="1" x14ac:dyDescent="0.2">
      <c r="A9" s="152" t="s">
        <v>58</v>
      </c>
      <c r="B9" s="151"/>
      <c r="C9" s="151">
        <v>18063</v>
      </c>
      <c r="D9" s="151">
        <v>161523</v>
      </c>
      <c r="E9" s="151">
        <v>42089</v>
      </c>
      <c r="F9" s="151">
        <v>194634</v>
      </c>
      <c r="G9" s="151">
        <v>197169</v>
      </c>
      <c r="H9" s="151">
        <v>492320.549</v>
      </c>
      <c r="I9" s="151">
        <v>1415706</v>
      </c>
      <c r="J9" s="151">
        <v>265786.26799999998</v>
      </c>
      <c r="K9" s="151">
        <v>295721</v>
      </c>
      <c r="L9" s="151">
        <v>3369</v>
      </c>
      <c r="M9" s="151">
        <v>340612.04</v>
      </c>
      <c r="N9" s="151">
        <v>96534</v>
      </c>
      <c r="O9" s="151">
        <v>1098362</v>
      </c>
      <c r="P9" s="151">
        <v>0</v>
      </c>
      <c r="Q9" s="151">
        <f t="shared" si="0"/>
        <v>4621888.8570000008</v>
      </c>
    </row>
    <row r="10" spans="1:17" ht="20.100000000000001" customHeight="1" x14ac:dyDescent="0.2">
      <c r="A10" s="152" t="s">
        <v>59</v>
      </c>
      <c r="B10" s="151"/>
      <c r="C10" s="151">
        <v>246</v>
      </c>
      <c r="D10" s="151">
        <v>8633</v>
      </c>
      <c r="E10" s="151">
        <v>751</v>
      </c>
      <c r="F10" s="151">
        <v>-11633</v>
      </c>
      <c r="G10" s="151">
        <v>287</v>
      </c>
      <c r="H10" s="151">
        <v>6275.4160000000265</v>
      </c>
      <c r="I10" s="151">
        <v>33789</v>
      </c>
      <c r="J10" s="151">
        <v>5780.2570000000123</v>
      </c>
      <c r="K10" s="151"/>
      <c r="L10" s="151">
        <v>0</v>
      </c>
      <c r="M10" s="151">
        <v>-16167.192999999999</v>
      </c>
      <c r="N10" s="151">
        <v>-5173</v>
      </c>
      <c r="O10" s="151">
        <v>96802</v>
      </c>
      <c r="P10" s="151">
        <v>0</v>
      </c>
      <c r="Q10" s="151">
        <f t="shared" si="0"/>
        <v>119590.48000000004</v>
      </c>
    </row>
    <row r="11" spans="1:17" ht="20.100000000000001" customHeight="1" x14ac:dyDescent="0.2">
      <c r="A11" s="152" t="s">
        <v>60</v>
      </c>
      <c r="B11" s="151"/>
      <c r="C11" s="151">
        <v>17818</v>
      </c>
      <c r="D11" s="151">
        <v>152829</v>
      </c>
      <c r="E11" s="151">
        <v>41338</v>
      </c>
      <c r="F11" s="151">
        <v>206268</v>
      </c>
      <c r="G11" s="151">
        <v>196882</v>
      </c>
      <c r="H11" s="151">
        <v>498595.96500000003</v>
      </c>
      <c r="I11" s="151">
        <v>1381918</v>
      </c>
      <c r="J11" s="151">
        <v>271565.641</v>
      </c>
      <c r="K11" s="151">
        <v>282179</v>
      </c>
      <c r="L11" s="151">
        <v>192</v>
      </c>
      <c r="M11" s="151">
        <v>324444.84699999995</v>
      </c>
      <c r="N11" s="151">
        <v>101707</v>
      </c>
      <c r="O11" s="151">
        <v>1001560</v>
      </c>
      <c r="P11" s="151">
        <v>0</v>
      </c>
      <c r="Q11" s="151">
        <f t="shared" si="0"/>
        <v>4477297.4529999997</v>
      </c>
    </row>
    <row r="12" spans="1:17" ht="20.100000000000001" customHeight="1" x14ac:dyDescent="0.2">
      <c r="A12" s="156" t="s">
        <v>67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>
        <f t="shared" si="0"/>
        <v>0</v>
      </c>
    </row>
    <row r="13" spans="1:17" ht="20.100000000000001" customHeight="1" x14ac:dyDescent="0.2">
      <c r="A13" s="152" t="s">
        <v>57</v>
      </c>
      <c r="B13" s="151"/>
      <c r="C13" s="151">
        <v>120872</v>
      </c>
      <c r="D13" s="151">
        <v>101456</v>
      </c>
      <c r="E13" s="151">
        <v>28695</v>
      </c>
      <c r="F13" s="151">
        <v>299769</v>
      </c>
      <c r="G13" s="151">
        <v>116276</v>
      </c>
      <c r="H13" s="151">
        <v>462317.12099999998</v>
      </c>
      <c r="I13" s="151">
        <v>943747</v>
      </c>
      <c r="J13" s="151">
        <v>133986.753</v>
      </c>
      <c r="K13" s="151">
        <v>225198</v>
      </c>
      <c r="L13" s="151">
        <v>25</v>
      </c>
      <c r="M13" s="151">
        <v>346215.09299999999</v>
      </c>
      <c r="N13" s="151">
        <v>44093</v>
      </c>
      <c r="O13" s="151">
        <v>1204732</v>
      </c>
      <c r="P13" s="151">
        <v>2888.95</v>
      </c>
      <c r="Q13" s="151">
        <f t="shared" si="0"/>
        <v>4030270.9169999999</v>
      </c>
    </row>
    <row r="14" spans="1:17" ht="20.100000000000001" customHeight="1" x14ac:dyDescent="0.2">
      <c r="A14" s="152" t="s">
        <v>16</v>
      </c>
      <c r="B14" s="151"/>
      <c r="C14" s="151">
        <v>107390</v>
      </c>
      <c r="D14" s="151">
        <v>24288</v>
      </c>
      <c r="E14" s="151">
        <v>3556</v>
      </c>
      <c r="F14" s="151">
        <v>135507</v>
      </c>
      <c r="G14" s="151">
        <v>11192</v>
      </c>
      <c r="H14" s="151">
        <v>140884.36799999999</v>
      </c>
      <c r="I14" s="151">
        <v>134187</v>
      </c>
      <c r="J14" s="151">
        <v>1684.5340000000001</v>
      </c>
      <c r="K14" s="151">
        <v>0</v>
      </c>
      <c r="L14" s="151">
        <v>25</v>
      </c>
      <c r="M14" s="151">
        <v>145929.242</v>
      </c>
      <c r="N14" s="151">
        <v>3142</v>
      </c>
      <c r="O14" s="151">
        <v>635950</v>
      </c>
      <c r="P14" s="151">
        <v>2888.95</v>
      </c>
      <c r="Q14" s="151">
        <f t="shared" si="0"/>
        <v>1346624.0939999998</v>
      </c>
    </row>
    <row r="15" spans="1:17" ht="20.100000000000001" customHeight="1" x14ac:dyDescent="0.2">
      <c r="A15" s="152" t="s">
        <v>58</v>
      </c>
      <c r="B15" s="151"/>
      <c r="C15" s="151">
        <v>13481</v>
      </c>
      <c r="D15" s="151">
        <v>77168</v>
      </c>
      <c r="E15" s="151">
        <v>25139</v>
      </c>
      <c r="F15" s="151">
        <v>164262</v>
      </c>
      <c r="G15" s="151">
        <v>105084</v>
      </c>
      <c r="H15" s="151">
        <v>321432.75300000003</v>
      </c>
      <c r="I15" s="151">
        <v>809560</v>
      </c>
      <c r="J15" s="151">
        <v>132302.21799999999</v>
      </c>
      <c r="K15" s="151">
        <v>179876</v>
      </c>
      <c r="L15" s="151">
        <v>236</v>
      </c>
      <c r="M15" s="151">
        <v>200285.851</v>
      </c>
      <c r="N15" s="151">
        <v>40951</v>
      </c>
      <c r="O15" s="151">
        <v>568783</v>
      </c>
      <c r="P15" s="151">
        <v>0</v>
      </c>
      <c r="Q15" s="151">
        <f t="shared" si="0"/>
        <v>2638560.8219999997</v>
      </c>
    </row>
    <row r="16" spans="1:17" ht="20.100000000000001" customHeight="1" x14ac:dyDescent="0.2">
      <c r="A16" s="152" t="s">
        <v>61</v>
      </c>
      <c r="B16" s="151"/>
      <c r="C16" s="151">
        <v>497</v>
      </c>
      <c r="D16" s="151">
        <v>9982</v>
      </c>
      <c r="E16" s="151">
        <v>-949</v>
      </c>
      <c r="F16" s="151">
        <v>-11162</v>
      </c>
      <c r="G16" s="151">
        <v>-3137</v>
      </c>
      <c r="H16" s="151">
        <v>13191.214999999997</v>
      </c>
      <c r="I16" s="151">
        <v>18833</v>
      </c>
      <c r="J16" s="151">
        <v>9253.8980000000156</v>
      </c>
      <c r="K16" s="151">
        <v>0</v>
      </c>
      <c r="L16" s="151">
        <v>0</v>
      </c>
      <c r="M16" s="151">
        <v>-14153.778000000006</v>
      </c>
      <c r="N16" s="151">
        <v>21071</v>
      </c>
      <c r="O16" s="151">
        <v>7735</v>
      </c>
      <c r="P16" s="151">
        <v>0</v>
      </c>
      <c r="Q16" s="151">
        <f t="shared" si="0"/>
        <v>51161.335000000006</v>
      </c>
    </row>
    <row r="17" spans="1:17" ht="20.100000000000001" customHeight="1" x14ac:dyDescent="0.2">
      <c r="A17" s="152" t="s">
        <v>62</v>
      </c>
      <c r="B17" s="151"/>
      <c r="C17" s="151">
        <v>13979</v>
      </c>
      <c r="D17" s="151">
        <v>87149</v>
      </c>
      <c r="E17" s="151">
        <v>24189</v>
      </c>
      <c r="F17" s="151">
        <v>153100</v>
      </c>
      <c r="G17" s="151">
        <v>101948</v>
      </c>
      <c r="H17" s="151">
        <v>334623.96799999999</v>
      </c>
      <c r="I17" s="151">
        <v>828393</v>
      </c>
      <c r="J17" s="151">
        <v>141556.11600000001</v>
      </c>
      <c r="K17" s="151"/>
      <c r="L17" s="151"/>
      <c r="M17" s="151">
        <v>186132.07299999997</v>
      </c>
      <c r="N17" s="151">
        <v>62880</v>
      </c>
      <c r="O17" s="151">
        <v>576518</v>
      </c>
      <c r="P17" s="151">
        <v>0</v>
      </c>
      <c r="Q17" s="151">
        <f t="shared" si="0"/>
        <v>2510468.1569999997</v>
      </c>
    </row>
    <row r="18" spans="1:17" ht="20.100000000000001" customHeight="1" x14ac:dyDescent="0.2">
      <c r="A18" s="156" t="s">
        <v>68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>
        <f t="shared" si="0"/>
        <v>0</v>
      </c>
    </row>
    <row r="19" spans="1:17" ht="20.100000000000001" customHeight="1" x14ac:dyDescent="0.2">
      <c r="A19" s="152" t="s">
        <v>63</v>
      </c>
      <c r="B19" s="151"/>
      <c r="C19" s="151">
        <v>12048</v>
      </c>
      <c r="D19" s="151">
        <v>3305</v>
      </c>
      <c r="E19" s="151">
        <v>444</v>
      </c>
      <c r="F19" s="151">
        <v>52303</v>
      </c>
      <c r="G19" s="151">
        <v>3504</v>
      </c>
      <c r="H19" s="151">
        <v>82122.476999999999</v>
      </c>
      <c r="I19" s="151">
        <v>95912</v>
      </c>
      <c r="J19" s="151">
        <v>5274.2969999999996</v>
      </c>
      <c r="K19" s="151">
        <v>-3896</v>
      </c>
      <c r="L19" s="151">
        <v>13</v>
      </c>
      <c r="M19" s="151">
        <v>48152.290999999997</v>
      </c>
      <c r="N19" s="151">
        <v>3261</v>
      </c>
      <c r="O19" s="151">
        <v>268639</v>
      </c>
      <c r="P19" s="151">
        <v>6619.1319999999996</v>
      </c>
      <c r="Q19" s="151">
        <f t="shared" si="0"/>
        <v>577701.19699999993</v>
      </c>
    </row>
    <row r="20" spans="1:17" ht="20.100000000000001" customHeight="1" x14ac:dyDescent="0.2">
      <c r="A20" s="152" t="s">
        <v>64</v>
      </c>
      <c r="B20" s="151"/>
      <c r="C20" s="151">
        <v>625</v>
      </c>
      <c r="D20" s="151">
        <v>8289</v>
      </c>
      <c r="E20" s="151">
        <v>4738</v>
      </c>
      <c r="F20" s="151">
        <v>46703</v>
      </c>
      <c r="G20" s="151">
        <v>24899</v>
      </c>
      <c r="H20" s="151">
        <v>107250.018</v>
      </c>
      <c r="I20" s="151">
        <v>187420</v>
      </c>
      <c r="J20" s="151">
        <v>38848.190999999999</v>
      </c>
      <c r="K20" s="151">
        <v>29051</v>
      </c>
      <c r="L20" s="151">
        <v>0</v>
      </c>
      <c r="M20" s="151">
        <v>30063.253000000001</v>
      </c>
      <c r="N20" s="151">
        <v>11285</v>
      </c>
      <c r="O20" s="151">
        <v>208794</v>
      </c>
      <c r="P20" s="151">
        <v>0</v>
      </c>
      <c r="Q20" s="151">
        <f t="shared" si="0"/>
        <v>697965.46200000006</v>
      </c>
    </row>
    <row r="21" spans="1:17" ht="20.100000000000001" customHeight="1" x14ac:dyDescent="0.2">
      <c r="A21" s="152" t="s">
        <v>58</v>
      </c>
      <c r="B21" s="151"/>
      <c r="C21" s="151">
        <v>11423</v>
      </c>
      <c r="D21" s="151">
        <v>-4985</v>
      </c>
      <c r="E21" s="151">
        <v>-4294</v>
      </c>
      <c r="F21" s="151">
        <v>5600</v>
      </c>
      <c r="G21" s="151">
        <v>21395</v>
      </c>
      <c r="H21" s="151">
        <v>-25127.540999999997</v>
      </c>
      <c r="I21" s="151">
        <v>91508</v>
      </c>
      <c r="J21" s="151">
        <v>-33573.892999999996</v>
      </c>
      <c r="K21" s="151">
        <v>25154</v>
      </c>
      <c r="L21" s="151">
        <v>13</v>
      </c>
      <c r="M21" s="151">
        <v>18089.037999999997</v>
      </c>
      <c r="N21" s="151">
        <v>-8024</v>
      </c>
      <c r="O21" s="151">
        <v>59845</v>
      </c>
      <c r="P21" s="151">
        <v>6619.1319999999996</v>
      </c>
      <c r="Q21" s="151">
        <f t="shared" si="0"/>
        <v>163641.736</v>
      </c>
    </row>
    <row r="22" spans="1:17" ht="20.100000000000001" customHeight="1" x14ac:dyDescent="0.2">
      <c r="A22" s="150" t="s">
        <v>69</v>
      </c>
      <c r="B22" s="151"/>
      <c r="C22" s="151">
        <v>16490</v>
      </c>
      <c r="D22" s="151">
        <v>46159</v>
      </c>
      <c r="E22" s="151">
        <v>17484</v>
      </c>
      <c r="F22" s="151">
        <v>55837</v>
      </c>
      <c r="G22" s="151">
        <v>52504</v>
      </c>
      <c r="H22" s="151">
        <v>127035.106</v>
      </c>
      <c r="I22" s="151">
        <v>322630</v>
      </c>
      <c r="J22" s="151">
        <v>57546.152000000002</v>
      </c>
      <c r="K22" s="151">
        <v>85240</v>
      </c>
      <c r="L22" s="151">
        <v>38128</v>
      </c>
      <c r="M22" s="151">
        <v>132919.14499999999</v>
      </c>
      <c r="N22" s="151">
        <v>37421</v>
      </c>
      <c r="O22" s="151">
        <v>424465</v>
      </c>
      <c r="P22" s="151">
        <v>7001.51</v>
      </c>
      <c r="Q22" s="151">
        <f t="shared" si="0"/>
        <v>1420859.9129999999</v>
      </c>
    </row>
    <row r="23" spans="1:17" ht="20.100000000000001" customHeight="1" x14ac:dyDescent="0.2">
      <c r="A23" s="150" t="s">
        <v>70</v>
      </c>
      <c r="B23" s="151"/>
      <c r="C23" s="151">
        <v>1228</v>
      </c>
      <c r="D23" s="151">
        <v>14537</v>
      </c>
      <c r="E23" s="151">
        <v>-4629</v>
      </c>
      <c r="F23" s="151">
        <v>2930</v>
      </c>
      <c r="G23" s="151">
        <v>21035</v>
      </c>
      <c r="H23" s="151">
        <v>11809.350000000035</v>
      </c>
      <c r="I23" s="151">
        <v>139386</v>
      </c>
      <c r="J23" s="151">
        <v>38889.479999999996</v>
      </c>
      <c r="K23" s="151">
        <v>5155</v>
      </c>
      <c r="L23" s="151">
        <v>-38157</v>
      </c>
      <c r="M23" s="151">
        <v>23482.666999999987</v>
      </c>
      <c r="N23" s="151">
        <v>-5760</v>
      </c>
      <c r="O23" s="151">
        <v>60421</v>
      </c>
      <c r="P23" s="151">
        <v>-382.37800000000061</v>
      </c>
      <c r="Q23" s="151">
        <f t="shared" si="0"/>
        <v>269945.11899999995</v>
      </c>
    </row>
    <row r="24" spans="1:17" ht="20.100000000000001" customHeight="1" x14ac:dyDescent="0.2">
      <c r="A24" s="150" t="s">
        <v>71</v>
      </c>
      <c r="B24" s="151"/>
      <c r="C24" s="151">
        <v>1087</v>
      </c>
      <c r="D24" s="151">
        <v>21077</v>
      </c>
      <c r="E24" s="151">
        <v>9623</v>
      </c>
      <c r="F24" s="151">
        <v>1961</v>
      </c>
      <c r="G24" s="151">
        <v>8192</v>
      </c>
      <c r="H24" s="151">
        <v>55707.964</v>
      </c>
      <c r="I24" s="151">
        <v>81944</v>
      </c>
      <c r="J24" s="151">
        <v>37268.57</v>
      </c>
      <c r="K24" s="151">
        <v>4811</v>
      </c>
      <c r="L24" s="151">
        <v>819</v>
      </c>
      <c r="M24" s="151">
        <v>53143.481</v>
      </c>
      <c r="N24" s="151">
        <v>21104</v>
      </c>
      <c r="O24" s="151">
        <v>153044</v>
      </c>
      <c r="P24" s="151">
        <v>388.99900000000002</v>
      </c>
      <c r="Q24" s="151">
        <f t="shared" si="0"/>
        <v>450171.01400000002</v>
      </c>
    </row>
    <row r="25" spans="1:17" ht="20.100000000000001" customHeight="1" x14ac:dyDescent="0.2">
      <c r="A25" s="150" t="s">
        <v>72</v>
      </c>
      <c r="B25" s="151"/>
      <c r="C25" s="151">
        <v>141</v>
      </c>
      <c r="D25" s="151">
        <v>35614</v>
      </c>
      <c r="E25" s="151">
        <v>5</v>
      </c>
      <c r="F25" s="151">
        <v>4891</v>
      </c>
      <c r="G25" s="151">
        <v>29227</v>
      </c>
      <c r="H25" s="151">
        <v>67517.314000000042</v>
      </c>
      <c r="I25" s="151">
        <v>221330</v>
      </c>
      <c r="J25" s="151">
        <v>76158.049999999988</v>
      </c>
      <c r="K25" s="151">
        <v>9966</v>
      </c>
      <c r="L25" s="151">
        <v>37338</v>
      </c>
      <c r="M25" s="151">
        <v>76626.147999999986</v>
      </c>
      <c r="N25" s="151">
        <v>15344</v>
      </c>
      <c r="O25" s="151">
        <v>213465</v>
      </c>
      <c r="P25" s="151">
        <v>6.6209999999994125</v>
      </c>
      <c r="Q25" s="151">
        <f t="shared" si="0"/>
        <v>787629.13300000003</v>
      </c>
    </row>
    <row r="26" spans="1:17" ht="20.100000000000001" customHeight="1" x14ac:dyDescent="0.2">
      <c r="A26" s="150" t="s">
        <v>73</v>
      </c>
      <c r="B26" s="151"/>
      <c r="C26" s="151">
        <v>0</v>
      </c>
      <c r="D26" s="151">
        <v>-4290</v>
      </c>
      <c r="E26" s="151">
        <v>43</v>
      </c>
      <c r="F26" s="151">
        <v>0</v>
      </c>
      <c r="G26" s="151">
        <v>4519</v>
      </c>
      <c r="H26" s="151">
        <v>8823.91</v>
      </c>
      <c r="I26" s="151">
        <v>24742</v>
      </c>
      <c r="J26" s="151">
        <v>14459.02</v>
      </c>
      <c r="K26" s="151">
        <v>0</v>
      </c>
      <c r="L26" s="151">
        <v>0</v>
      </c>
      <c r="M26" s="151">
        <v>13994.319</v>
      </c>
      <c r="N26" s="151">
        <v>2442</v>
      </c>
      <c r="O26" s="151">
        <v>19100</v>
      </c>
      <c r="P26" s="151">
        <v>0</v>
      </c>
      <c r="Q26" s="151">
        <f t="shared" si="0"/>
        <v>83833.249000000011</v>
      </c>
    </row>
    <row r="27" spans="1:17" ht="14.25" x14ac:dyDescent="0.2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14.25" x14ac:dyDescent="0.2">
      <c r="A28" s="153" t="s">
        <v>74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14.25" x14ac:dyDescent="0.2">
      <c r="A29" s="153" t="s">
        <v>75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ht="14.25" x14ac:dyDescent="0.2">
      <c r="A30" s="170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ht="14.25" x14ac:dyDescent="0.2">
      <c r="A31" s="171" t="s">
        <v>91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ht="14.25" x14ac:dyDescent="0.2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</sheetData>
  <mergeCells count="3">
    <mergeCell ref="A2:Q2"/>
    <mergeCell ref="A3:Q3"/>
    <mergeCell ref="A4:Q4"/>
  </mergeCells>
  <pageMargins left="0.7" right="0.7" top="0.75" bottom="0.75" header="0.3" footer="0.3"/>
  <pageSetup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32"/>
  <sheetViews>
    <sheetView zoomScale="80" zoomScaleNormal="8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R6" sqref="R6"/>
    </sheetView>
  </sheetViews>
  <sheetFormatPr defaultRowHeight="12.75" x14ac:dyDescent="0.2"/>
  <cols>
    <col min="1" max="1" width="54.28515625" bestFit="1" customWidth="1"/>
    <col min="2" max="2" width="10.28515625" bestFit="1" customWidth="1"/>
    <col min="4" max="4" width="10.28515625" bestFit="1" customWidth="1"/>
    <col min="6" max="7" width="10.28515625" bestFit="1" customWidth="1"/>
    <col min="8" max="9" width="12.140625" bestFit="1" customWidth="1"/>
    <col min="10" max="11" width="10.28515625" bestFit="1" customWidth="1"/>
    <col min="12" max="12" width="10.85546875" bestFit="1" customWidth="1"/>
    <col min="13" max="14" width="10.28515625" bestFit="1" customWidth="1"/>
    <col min="15" max="15" width="12.140625" bestFit="1" customWidth="1"/>
    <col min="16" max="16" width="14.28515625" customWidth="1"/>
    <col min="17" max="17" width="15.5703125" bestFit="1" customWidth="1"/>
    <col min="18" max="18" width="14.7109375" customWidth="1"/>
  </cols>
  <sheetData>
    <row r="1" spans="1:18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8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8" ht="15.75" x14ac:dyDescent="0.25">
      <c r="A3" s="174" t="s">
        <v>65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8" ht="14.25" x14ac:dyDescent="0.2">
      <c r="A4" s="146"/>
      <c r="B4" s="177" t="s">
        <v>37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1:18" s="3" customFormat="1" ht="30.75" customHeight="1" x14ac:dyDescent="0.2">
      <c r="A5" s="147"/>
      <c r="B5" s="148" t="s">
        <v>76</v>
      </c>
      <c r="C5" s="148" t="s">
        <v>39</v>
      </c>
      <c r="D5" s="148" t="s">
        <v>3</v>
      </c>
      <c r="E5" s="148" t="s">
        <v>4</v>
      </c>
      <c r="F5" s="148" t="s">
        <v>5</v>
      </c>
      <c r="G5" s="148" t="s">
        <v>6</v>
      </c>
      <c r="H5" s="148" t="s">
        <v>54</v>
      </c>
      <c r="I5" s="148" t="s">
        <v>55</v>
      </c>
      <c r="J5" s="148" t="s">
        <v>9</v>
      </c>
      <c r="K5" s="148" t="s">
        <v>42</v>
      </c>
      <c r="L5" s="155" t="s">
        <v>77</v>
      </c>
      <c r="M5" s="148" t="s">
        <v>10</v>
      </c>
      <c r="N5" s="148" t="s">
        <v>11</v>
      </c>
      <c r="O5" s="148" t="s">
        <v>12</v>
      </c>
      <c r="P5" s="155" t="s">
        <v>78</v>
      </c>
      <c r="Q5" s="149" t="s">
        <v>13</v>
      </c>
      <c r="R5" s="149" t="s">
        <v>92</v>
      </c>
    </row>
    <row r="6" spans="1:18" ht="20.100000000000001" customHeight="1" x14ac:dyDescent="0.2">
      <c r="A6" s="156" t="s">
        <v>66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8" ht="20.100000000000001" customHeight="1" x14ac:dyDescent="0.2">
      <c r="A7" s="152" t="s">
        <v>57</v>
      </c>
      <c r="B7" s="151">
        <v>208468.87599999999</v>
      </c>
      <c r="C7" s="151">
        <v>89199.679000000004</v>
      </c>
      <c r="D7" s="151">
        <v>157508.33300000001</v>
      </c>
      <c r="E7" s="151">
        <v>44637.332000000002</v>
      </c>
      <c r="F7" s="151">
        <v>457188.38500000001</v>
      </c>
      <c r="G7" s="151">
        <v>213684.74100000001</v>
      </c>
      <c r="H7" s="151">
        <v>1066340.2409999999</v>
      </c>
      <c r="I7" s="151">
        <v>1660853.2279999999</v>
      </c>
      <c r="J7" s="151">
        <v>332005.09299999999</v>
      </c>
      <c r="K7" s="151">
        <v>284857.09100000001</v>
      </c>
      <c r="L7" s="151"/>
      <c r="M7" s="151">
        <v>667369.83600000001</v>
      </c>
      <c r="N7" s="151">
        <v>137835.45499999999</v>
      </c>
      <c r="O7" s="151">
        <v>2091133.672</v>
      </c>
      <c r="P7" s="151"/>
      <c r="Q7" s="151">
        <f t="shared" ref="Q7:Q26" si="0">SUM(B7:O7)</f>
        <v>7411081.9620000003</v>
      </c>
      <c r="R7" s="151">
        <f>SUM(C7:P7)</f>
        <v>7202613.0860000001</v>
      </c>
    </row>
    <row r="8" spans="1:18" ht="20.100000000000001" customHeight="1" x14ac:dyDescent="0.2">
      <c r="A8" s="152" t="s">
        <v>16</v>
      </c>
      <c r="B8" s="151">
        <v>14580.712</v>
      </c>
      <c r="C8" s="151">
        <v>68701.679999999993</v>
      </c>
      <c r="D8" s="151">
        <v>8553.5110000000004</v>
      </c>
      <c r="E8" s="151">
        <v>4425.5079999999998</v>
      </c>
      <c r="F8" s="151">
        <v>239971.75</v>
      </c>
      <c r="G8" s="151">
        <v>17244.276000000002</v>
      </c>
      <c r="H8" s="151">
        <v>584999.06999999995</v>
      </c>
      <c r="I8" s="151">
        <v>383221.75900000002</v>
      </c>
      <c r="J8" s="151">
        <v>54837.358999999997</v>
      </c>
      <c r="K8" s="151">
        <v>18796.536</v>
      </c>
      <c r="L8" s="151"/>
      <c r="M8" s="151">
        <v>348215.99</v>
      </c>
      <c r="N8" s="151">
        <v>27630.567999999999</v>
      </c>
      <c r="O8" s="151">
        <v>1143672.1869999999</v>
      </c>
      <c r="P8" s="151"/>
      <c r="Q8" s="151">
        <f t="shared" si="0"/>
        <v>2914850.906</v>
      </c>
      <c r="R8" s="151">
        <f t="shared" ref="R8:R26" si="1">SUM(C8:P8)</f>
        <v>2900270.1940000001</v>
      </c>
    </row>
    <row r="9" spans="1:18" ht="20.100000000000001" customHeight="1" x14ac:dyDescent="0.2">
      <c r="A9" s="152" t="s">
        <v>58</v>
      </c>
      <c r="B9" s="151">
        <v>193888.16399999999</v>
      </c>
      <c r="C9" s="151">
        <v>20497.999</v>
      </c>
      <c r="D9" s="151">
        <v>148954.82199999999</v>
      </c>
      <c r="E9" s="151">
        <v>40211.824000000001</v>
      </c>
      <c r="F9" s="151">
        <v>217216.63500000001</v>
      </c>
      <c r="G9" s="151">
        <v>196440.465</v>
      </c>
      <c r="H9" s="151">
        <v>481341.17099999997</v>
      </c>
      <c r="I9" s="151">
        <v>1277631.469</v>
      </c>
      <c r="J9" s="151">
        <v>277167.734</v>
      </c>
      <c r="K9" s="151">
        <v>266060.55499999999</v>
      </c>
      <c r="L9" s="151"/>
      <c r="M9" s="151">
        <v>319153.84600000002</v>
      </c>
      <c r="N9" s="151">
        <v>110204.887</v>
      </c>
      <c r="O9" s="151">
        <v>947461.48499999999</v>
      </c>
      <c r="P9" s="151"/>
      <c r="Q9" s="151">
        <f t="shared" si="0"/>
        <v>4496231.0560000008</v>
      </c>
      <c r="R9" s="151">
        <f t="shared" si="1"/>
        <v>4302342.892</v>
      </c>
    </row>
    <row r="10" spans="1:18" ht="20.100000000000001" customHeight="1" x14ac:dyDescent="0.2">
      <c r="A10" s="152" t="s">
        <v>59</v>
      </c>
      <c r="B10" s="151">
        <v>6632.5730000000003</v>
      </c>
      <c r="C10" s="151">
        <v>32.76</v>
      </c>
      <c r="D10" s="151">
        <v>0</v>
      </c>
      <c r="E10" s="151">
        <v>-851.00900000000001</v>
      </c>
      <c r="F10" s="151">
        <v>2261.2979999999998</v>
      </c>
      <c r="G10" s="151">
        <v>3531.953</v>
      </c>
      <c r="H10" s="151">
        <v>29256.737000000001</v>
      </c>
      <c r="I10" s="151">
        <v>5312.3069999999998</v>
      </c>
      <c r="J10" s="151">
        <v>-958.59500000000003</v>
      </c>
      <c r="K10" s="151">
        <v>14738.278</v>
      </c>
      <c r="L10" s="151"/>
      <c r="M10" s="151">
        <v>9216.8220000000001</v>
      </c>
      <c r="N10" s="151">
        <v>-8225.4940000000006</v>
      </c>
      <c r="O10" s="151">
        <v>16670.861000000001</v>
      </c>
      <c r="P10" s="151"/>
      <c r="Q10" s="151">
        <f t="shared" si="0"/>
        <v>77618.491000000009</v>
      </c>
      <c r="R10" s="151">
        <f t="shared" si="1"/>
        <v>70985.918000000005</v>
      </c>
    </row>
    <row r="11" spans="1:18" ht="20.100000000000001" customHeight="1" x14ac:dyDescent="0.2">
      <c r="A11" s="152" t="s">
        <v>60</v>
      </c>
      <c r="B11" s="151">
        <v>187255.59099999999</v>
      </c>
      <c r="C11" s="151">
        <v>20465.239000000001</v>
      </c>
      <c r="D11" s="151">
        <v>152337.24</v>
      </c>
      <c r="E11" s="151">
        <v>41062.832999999999</v>
      </c>
      <c r="F11" s="151">
        <v>214955.337</v>
      </c>
      <c r="G11" s="151">
        <v>192908.51199999999</v>
      </c>
      <c r="H11" s="151">
        <v>452084.43400000001</v>
      </c>
      <c r="I11" s="151">
        <v>1272319.162</v>
      </c>
      <c r="J11" s="151">
        <v>278126.32900000003</v>
      </c>
      <c r="K11" s="151">
        <v>251322.277</v>
      </c>
      <c r="L11" s="151"/>
      <c r="M11" s="151">
        <v>310279.451</v>
      </c>
      <c r="N11" s="151">
        <v>118430.38099999999</v>
      </c>
      <c r="O11" s="151">
        <v>930790.62399999995</v>
      </c>
      <c r="P11" s="151"/>
      <c r="Q11" s="151">
        <f>SUM(B11:O11)</f>
        <v>4422337.41</v>
      </c>
      <c r="R11" s="151">
        <f t="shared" si="1"/>
        <v>4235081.8190000001</v>
      </c>
    </row>
    <row r="12" spans="1:18" ht="20.100000000000001" customHeight="1" x14ac:dyDescent="0.2">
      <c r="A12" s="156" t="s">
        <v>67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>
        <f t="shared" si="1"/>
        <v>0</v>
      </c>
    </row>
    <row r="13" spans="1:18" ht="20.100000000000001" customHeight="1" x14ac:dyDescent="0.2">
      <c r="A13" s="152" t="s">
        <v>57</v>
      </c>
      <c r="B13" s="151">
        <v>184999.39600000001</v>
      </c>
      <c r="C13" s="151">
        <v>24421.102999999999</v>
      </c>
      <c r="D13" s="151">
        <v>89298.194000000003</v>
      </c>
      <c r="E13" s="151">
        <v>29131.553</v>
      </c>
      <c r="F13" s="151">
        <v>319214.39</v>
      </c>
      <c r="G13" s="151">
        <v>104293.182</v>
      </c>
      <c r="H13" s="151">
        <v>389065.647</v>
      </c>
      <c r="I13" s="151">
        <v>954763.00199999998</v>
      </c>
      <c r="J13" s="151">
        <v>310367.065</v>
      </c>
      <c r="K13" s="151">
        <v>190982.511</v>
      </c>
      <c r="L13" s="151"/>
      <c r="M13" s="151">
        <v>273789.57900000003</v>
      </c>
      <c r="N13" s="151">
        <v>67215.604999999996</v>
      </c>
      <c r="O13" s="151">
        <v>976096.59299999999</v>
      </c>
      <c r="P13" s="151"/>
      <c r="Q13" s="151">
        <f t="shared" si="0"/>
        <v>3913637.82</v>
      </c>
      <c r="R13" s="151">
        <f t="shared" si="1"/>
        <v>3728638.4239999996</v>
      </c>
    </row>
    <row r="14" spans="1:18" ht="20.100000000000001" customHeight="1" x14ac:dyDescent="0.2">
      <c r="A14" s="152" t="s">
        <v>16</v>
      </c>
      <c r="B14" s="151">
        <v>8047.1109999999999</v>
      </c>
      <c r="C14" s="151">
        <v>14815.66</v>
      </c>
      <c r="D14" s="151">
        <v>14710.739</v>
      </c>
      <c r="E14" s="151">
        <v>8748.9940000000006</v>
      </c>
      <c r="F14" s="151">
        <v>163415.685</v>
      </c>
      <c r="G14" s="151">
        <v>5996.0129999999999</v>
      </c>
      <c r="H14" s="151">
        <v>145378.467</v>
      </c>
      <c r="I14" s="151">
        <v>242979.79500000001</v>
      </c>
      <c r="J14" s="151">
        <v>168014.89499999999</v>
      </c>
      <c r="K14" s="151">
        <v>40467.33</v>
      </c>
      <c r="L14" s="151"/>
      <c r="M14" s="151">
        <v>110164.527</v>
      </c>
      <c r="N14" s="151">
        <v>6220.2820000000002</v>
      </c>
      <c r="O14" s="151">
        <v>486664.84899999999</v>
      </c>
      <c r="P14" s="151"/>
      <c r="Q14" s="151">
        <f t="shared" si="0"/>
        <v>1415624.3470000001</v>
      </c>
      <c r="R14" s="151">
        <f t="shared" si="1"/>
        <v>1407577.236</v>
      </c>
    </row>
    <row r="15" spans="1:18" ht="20.100000000000001" customHeight="1" x14ac:dyDescent="0.2">
      <c r="A15" s="152" t="s">
        <v>58</v>
      </c>
      <c r="B15" s="151">
        <v>176952.285</v>
      </c>
      <c r="C15" s="151">
        <v>9605.4429999999993</v>
      </c>
      <c r="D15" s="151">
        <v>74587.455000000002</v>
      </c>
      <c r="E15" s="151">
        <v>20382.559000000001</v>
      </c>
      <c r="F15" s="151">
        <v>155798.70499999999</v>
      </c>
      <c r="G15" s="151">
        <v>98297.168999999994</v>
      </c>
      <c r="H15" s="151">
        <v>243687.18</v>
      </c>
      <c r="I15" s="151">
        <v>711783.20700000005</v>
      </c>
      <c r="J15" s="151">
        <v>142352.17000000001</v>
      </c>
      <c r="K15" s="151">
        <v>150515.18100000001</v>
      </c>
      <c r="L15" s="151"/>
      <c r="M15" s="151">
        <v>163625.052</v>
      </c>
      <c r="N15" s="151">
        <v>60995.322999999997</v>
      </c>
      <c r="O15" s="151">
        <v>489431.74400000001</v>
      </c>
      <c r="P15" s="151"/>
      <c r="Q15" s="151">
        <f t="shared" si="0"/>
        <v>2498013.4730000002</v>
      </c>
      <c r="R15" s="151">
        <f t="shared" si="1"/>
        <v>2321061.1880000001</v>
      </c>
    </row>
    <row r="16" spans="1:18" ht="20.100000000000001" customHeight="1" x14ac:dyDescent="0.2">
      <c r="A16" s="152" t="s">
        <v>61</v>
      </c>
      <c r="B16" s="151">
        <v>11033.66</v>
      </c>
      <c r="C16" s="151">
        <v>5099.116</v>
      </c>
      <c r="D16" s="151">
        <v>-16241.341</v>
      </c>
      <c r="E16" s="151">
        <v>-884.92600000000004</v>
      </c>
      <c r="F16" s="151">
        <v>24256.678</v>
      </c>
      <c r="G16" s="151">
        <v>-2256.9299999999998</v>
      </c>
      <c r="H16" s="151">
        <v>13719.539000000001</v>
      </c>
      <c r="I16" s="151">
        <v>25274.787</v>
      </c>
      <c r="J16" s="151">
        <v>0</v>
      </c>
      <c r="K16" s="151">
        <v>-9078.8819999999996</v>
      </c>
      <c r="L16" s="151"/>
      <c r="M16" s="151">
        <v>-4616.9639999999999</v>
      </c>
      <c r="N16" s="151">
        <v>7657.7209999999995</v>
      </c>
      <c r="O16" s="151">
        <v>-11792.465</v>
      </c>
      <c r="P16" s="151"/>
      <c r="Q16" s="151">
        <f t="shared" si="0"/>
        <v>42169.993000000002</v>
      </c>
      <c r="R16" s="151">
        <f t="shared" si="1"/>
        <v>31136.332999999995</v>
      </c>
    </row>
    <row r="17" spans="1:18" ht="20.100000000000001" customHeight="1" x14ac:dyDescent="0.2">
      <c r="A17" s="152" t="s">
        <v>62</v>
      </c>
      <c r="B17" s="151">
        <v>187985.94500000001</v>
      </c>
      <c r="C17" s="151">
        <v>14704.558999999999</v>
      </c>
      <c r="D17" s="151">
        <v>58346.114000000001</v>
      </c>
      <c r="E17" s="151">
        <v>19497.633000000002</v>
      </c>
      <c r="F17" s="151">
        <v>180055.383</v>
      </c>
      <c r="G17" s="151">
        <v>96040.239000000001</v>
      </c>
      <c r="H17" s="151">
        <v>257406.71900000001</v>
      </c>
      <c r="I17" s="151">
        <v>740354.33</v>
      </c>
      <c r="J17" s="151">
        <v>21296.654999999999</v>
      </c>
      <c r="K17" s="151">
        <v>141436.299</v>
      </c>
      <c r="L17" s="151"/>
      <c r="M17" s="151">
        <v>159008.08799999999</v>
      </c>
      <c r="N17" s="151">
        <v>68653.043999999994</v>
      </c>
      <c r="O17" s="151">
        <v>477639.27899999998</v>
      </c>
      <c r="P17" s="151"/>
      <c r="Q17" s="151">
        <f t="shared" si="0"/>
        <v>2422424.287</v>
      </c>
      <c r="R17" s="151">
        <f t="shared" si="1"/>
        <v>2234438.3419999997</v>
      </c>
    </row>
    <row r="18" spans="1:18" ht="20.100000000000001" customHeight="1" x14ac:dyDescent="0.2">
      <c r="A18" s="156" t="s">
        <v>68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>
        <f t="shared" si="1"/>
        <v>0</v>
      </c>
    </row>
    <row r="19" spans="1:18" ht="20.100000000000001" customHeight="1" x14ac:dyDescent="0.2">
      <c r="A19" s="152" t="s">
        <v>63</v>
      </c>
      <c r="B19" s="151">
        <v>19962.758000000002</v>
      </c>
      <c r="C19" s="151">
        <v>12952.901</v>
      </c>
      <c r="D19" s="151">
        <v>1793.3489999999999</v>
      </c>
      <c r="E19" s="151">
        <v>558.68700000000001</v>
      </c>
      <c r="F19" s="151">
        <v>62722.883999999998</v>
      </c>
      <c r="G19" s="151">
        <v>3241.4160000000002</v>
      </c>
      <c r="H19" s="151">
        <v>69904.635999999999</v>
      </c>
      <c r="I19" s="151">
        <v>92726.019</v>
      </c>
      <c r="J19" s="151">
        <v>5273.7719999999999</v>
      </c>
      <c r="K19" s="151">
        <v>4296.6210000000001</v>
      </c>
      <c r="L19" s="151"/>
      <c r="M19" s="151">
        <v>53067.436999999998</v>
      </c>
      <c r="N19" s="151">
        <v>6143.5770000000002</v>
      </c>
      <c r="O19" s="151">
        <v>255232.22099999999</v>
      </c>
      <c r="P19" s="151"/>
      <c r="Q19" s="151">
        <f t="shared" si="0"/>
        <v>587876.27799999993</v>
      </c>
      <c r="R19" s="151">
        <f t="shared" si="1"/>
        <v>567913.52</v>
      </c>
    </row>
    <row r="20" spans="1:18" ht="20.100000000000001" customHeight="1" x14ac:dyDescent="0.2">
      <c r="A20" s="152" t="s">
        <v>64</v>
      </c>
      <c r="B20" s="151">
        <v>5912.6610000000001</v>
      </c>
      <c r="C20" s="151">
        <v>638.07299999999998</v>
      </c>
      <c r="D20" s="151">
        <v>7658.9319999999998</v>
      </c>
      <c r="E20" s="151">
        <v>5044.8940000000002</v>
      </c>
      <c r="F20" s="151">
        <v>50446.595000000001</v>
      </c>
      <c r="G20" s="151">
        <v>22384.851999999999</v>
      </c>
      <c r="H20" s="151">
        <v>100079.27099999999</v>
      </c>
      <c r="I20" s="151">
        <v>145325.84099999999</v>
      </c>
      <c r="J20" s="151">
        <v>42551.69</v>
      </c>
      <c r="K20" s="151">
        <v>26253.901999999998</v>
      </c>
      <c r="L20" s="151"/>
      <c r="M20" s="151">
        <v>33382.072999999997</v>
      </c>
      <c r="N20" s="151">
        <v>9970.3109999999997</v>
      </c>
      <c r="O20" s="151">
        <v>212367.49</v>
      </c>
      <c r="P20" s="151"/>
      <c r="Q20" s="151">
        <f t="shared" si="0"/>
        <v>662016.58499999996</v>
      </c>
      <c r="R20" s="151">
        <f t="shared" si="1"/>
        <v>656103.92399999988</v>
      </c>
    </row>
    <row r="21" spans="1:18" ht="20.100000000000001" customHeight="1" x14ac:dyDescent="0.2">
      <c r="A21" s="152" t="s">
        <v>58</v>
      </c>
      <c r="B21" s="151">
        <v>14050.097</v>
      </c>
      <c r="C21" s="151">
        <v>12314.828</v>
      </c>
      <c r="D21" s="151">
        <v>-5865.5829999999996</v>
      </c>
      <c r="E21" s="151">
        <v>-4486.2070000000003</v>
      </c>
      <c r="F21" s="151">
        <v>12276.289000000001</v>
      </c>
      <c r="G21" s="151">
        <v>-19429.353999999999</v>
      </c>
      <c r="H21" s="151">
        <v>-30174.634999999998</v>
      </c>
      <c r="I21" s="151">
        <v>-52599.822</v>
      </c>
      <c r="J21" s="151">
        <v>-37277.917999999998</v>
      </c>
      <c r="K21" s="151">
        <v>-21957.280999999999</v>
      </c>
      <c r="L21" s="151"/>
      <c r="M21" s="151">
        <v>19685.364000000001</v>
      </c>
      <c r="N21" s="151">
        <v>-3826.7339999999999</v>
      </c>
      <c r="O21" s="151">
        <v>42864.731</v>
      </c>
      <c r="P21" s="151"/>
      <c r="Q21" s="151">
        <f t="shared" si="0"/>
        <v>-74426.224999999977</v>
      </c>
      <c r="R21" s="151">
        <f t="shared" si="1"/>
        <v>-88476.321999999986</v>
      </c>
    </row>
    <row r="22" spans="1:18" ht="20.100000000000001" customHeight="1" x14ac:dyDescent="0.2">
      <c r="A22" s="150" t="s">
        <v>69</v>
      </c>
      <c r="B22" s="151">
        <v>13031.334000000001</v>
      </c>
      <c r="C22" s="151">
        <v>16260.406999999999</v>
      </c>
      <c r="D22" s="151">
        <v>51206.303</v>
      </c>
      <c r="E22" s="151">
        <v>16869.087</v>
      </c>
      <c r="F22" s="151">
        <v>60603.466999999997</v>
      </c>
      <c r="G22" s="151">
        <v>49924.353999999999</v>
      </c>
      <c r="H22" s="151">
        <v>127710.565</v>
      </c>
      <c r="I22" s="151">
        <v>328827.33399999997</v>
      </c>
      <c r="J22" s="151">
        <v>45541.868999999999</v>
      </c>
      <c r="K22" s="151">
        <v>77117.520999999993</v>
      </c>
      <c r="L22" s="151"/>
      <c r="M22" s="151">
        <v>128537.068</v>
      </c>
      <c r="N22" s="151">
        <v>52479.788</v>
      </c>
      <c r="O22" s="151">
        <v>357170.65299999999</v>
      </c>
      <c r="P22" s="151"/>
      <c r="Q22" s="151">
        <f t="shared" si="0"/>
        <v>1325279.7499999998</v>
      </c>
      <c r="R22" s="151">
        <f t="shared" si="1"/>
        <v>1312248.4159999997</v>
      </c>
    </row>
    <row r="23" spans="1:18" ht="20.100000000000001" customHeight="1" x14ac:dyDescent="0.2">
      <c r="A23" s="150" t="s">
        <v>70</v>
      </c>
      <c r="B23" s="151">
        <v>288.40899999999999</v>
      </c>
      <c r="C23" s="151">
        <v>1815.1010000000001</v>
      </c>
      <c r="D23" s="151">
        <v>36919.24</v>
      </c>
      <c r="E23" s="151">
        <v>209.90600000000001</v>
      </c>
      <c r="F23" s="151">
        <v>-13427.224</v>
      </c>
      <c r="G23" s="151">
        <v>27800.483</v>
      </c>
      <c r="H23" s="151">
        <v>36792.514999999999</v>
      </c>
      <c r="I23" s="151">
        <v>150537.67600000001</v>
      </c>
      <c r="J23" s="151">
        <v>174009.88699999999</v>
      </c>
      <c r="K23" s="151">
        <v>10811.175999999999</v>
      </c>
      <c r="L23" s="151"/>
      <c r="M23" s="151">
        <v>42419.659</v>
      </c>
      <c r="N23" s="151">
        <v>-6529.1850000000004</v>
      </c>
      <c r="O23" s="151">
        <v>138845.42300000001</v>
      </c>
      <c r="P23" s="151"/>
      <c r="Q23" s="151">
        <f t="shared" si="0"/>
        <v>600493.06599999999</v>
      </c>
      <c r="R23" s="151">
        <f t="shared" si="1"/>
        <v>600204.65700000001</v>
      </c>
    </row>
    <row r="24" spans="1:18" ht="20.100000000000001" customHeight="1" x14ac:dyDescent="0.2">
      <c r="A24" s="150" t="s">
        <v>71</v>
      </c>
      <c r="B24" s="151">
        <v>1843.8779999999999</v>
      </c>
      <c r="C24" s="151">
        <v>3948.51</v>
      </c>
      <c r="D24" s="151">
        <v>22961.288</v>
      </c>
      <c r="E24" s="151">
        <v>7550.7830000000004</v>
      </c>
      <c r="F24" s="151">
        <v>1078.8989999999999</v>
      </c>
      <c r="G24" s="151">
        <v>8228.3439999999991</v>
      </c>
      <c r="H24" s="151">
        <v>42422.900999999998</v>
      </c>
      <c r="I24" s="151">
        <v>95282.180999999997</v>
      </c>
      <c r="J24" s="151">
        <v>37043.233</v>
      </c>
      <c r="K24" s="151">
        <v>4853.375</v>
      </c>
      <c r="L24" s="151"/>
      <c r="M24" s="151">
        <v>54337.385000000002</v>
      </c>
      <c r="N24" s="151">
        <v>22562.683000000001</v>
      </c>
      <c r="O24" s="151">
        <v>138491.79500000001</v>
      </c>
      <c r="P24" s="151"/>
      <c r="Q24" s="151">
        <f t="shared" si="0"/>
        <v>440605.255</v>
      </c>
      <c r="R24" s="151">
        <f t="shared" si="1"/>
        <v>438761.37700000009</v>
      </c>
    </row>
    <row r="25" spans="1:18" ht="20.100000000000001" customHeight="1" x14ac:dyDescent="0.2">
      <c r="A25" s="150" t="s">
        <v>72</v>
      </c>
      <c r="B25" s="151">
        <v>2132.2869999999998</v>
      </c>
      <c r="C25" s="151">
        <v>5763.6109999999999</v>
      </c>
      <c r="D25" s="151">
        <v>59880.527999999998</v>
      </c>
      <c r="E25" s="151">
        <v>7760.6890000000003</v>
      </c>
      <c r="F25" s="151">
        <v>-12348.325000000001</v>
      </c>
      <c r="G25" s="151">
        <v>36028.826999999997</v>
      </c>
      <c r="H25" s="151">
        <v>79215.415999999997</v>
      </c>
      <c r="I25" s="151">
        <v>245819.85800000001</v>
      </c>
      <c r="J25" s="151">
        <v>211053.12</v>
      </c>
      <c r="K25" s="151">
        <v>15664.550999999999</v>
      </c>
      <c r="L25" s="151"/>
      <c r="M25" s="151">
        <v>96757.044000000009</v>
      </c>
      <c r="N25" s="151">
        <v>16033.498</v>
      </c>
      <c r="O25" s="151">
        <v>277337.21799999999</v>
      </c>
      <c r="P25" s="151"/>
      <c r="Q25" s="151">
        <f t="shared" si="0"/>
        <v>1041098.3219999999</v>
      </c>
      <c r="R25" s="151">
        <f t="shared" si="1"/>
        <v>1038966.0349999999</v>
      </c>
    </row>
    <row r="26" spans="1:18" ht="20.100000000000001" customHeight="1" x14ac:dyDescent="0.2">
      <c r="A26" s="150" t="s">
        <v>73</v>
      </c>
      <c r="B26" s="151">
        <v>0</v>
      </c>
      <c r="C26" s="151">
        <v>1001.504</v>
      </c>
      <c r="D26" s="151">
        <v>11290.183000000001</v>
      </c>
      <c r="E26" s="151">
        <v>911.67200000000003</v>
      </c>
      <c r="F26" s="151">
        <v>0</v>
      </c>
      <c r="G26" s="151">
        <v>5750.4949999999999</v>
      </c>
      <c r="H26" s="151">
        <v>14533.665999999999</v>
      </c>
      <c r="I26" s="151">
        <v>38513.002999999997</v>
      </c>
      <c r="J26" s="151">
        <v>26591.242999999999</v>
      </c>
      <c r="K26" s="151">
        <v>2182.913</v>
      </c>
      <c r="L26" s="151">
        <v>0</v>
      </c>
      <c r="M26" s="151">
        <v>14206.093999999999</v>
      </c>
      <c r="N26" s="151">
        <v>1655.529</v>
      </c>
      <c r="O26" s="151">
        <v>33364.101999999999</v>
      </c>
      <c r="P26" s="151">
        <v>0</v>
      </c>
      <c r="Q26" s="151">
        <f t="shared" si="0"/>
        <v>150000.40399999998</v>
      </c>
      <c r="R26" s="151">
        <f t="shared" si="1"/>
        <v>150000.40399999998</v>
      </c>
    </row>
    <row r="27" spans="1:18" ht="14.25" x14ac:dyDescent="0.2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8" ht="14.25" x14ac:dyDescent="0.2">
      <c r="A28" s="153" t="s">
        <v>74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8" ht="14.25" x14ac:dyDescent="0.2">
      <c r="A29" s="153" t="s">
        <v>75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8" ht="14.25" x14ac:dyDescent="0.2">
      <c r="A30" s="170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8" ht="14.25" x14ac:dyDescent="0.2">
      <c r="A31" s="171" t="s">
        <v>91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8" ht="14.25" x14ac:dyDescent="0.2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</sheetData>
  <mergeCells count="3">
    <mergeCell ref="A2:Q2"/>
    <mergeCell ref="A3:Q3"/>
    <mergeCell ref="B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Revenue Gen 22</vt:lpstr>
      <vt:lpstr>Revenue Gen 21</vt:lpstr>
      <vt:lpstr>Revenue Gen 20</vt:lpstr>
      <vt:lpstr>Revenue Gen 19</vt:lpstr>
      <vt:lpstr>Revenue Gen 18</vt:lpstr>
      <vt:lpstr>Revenue Gen 17</vt:lpstr>
      <vt:lpstr>Revenue Gen 16</vt:lpstr>
      <vt:lpstr>Revenue Gen 15</vt:lpstr>
      <vt:lpstr>Revenue Gen 14</vt:lpstr>
      <vt:lpstr>Revenue Gen 13</vt:lpstr>
      <vt:lpstr>Revenue Gen 12</vt:lpstr>
      <vt:lpstr>Revenue Gen 11</vt:lpstr>
      <vt:lpstr>Revenue Gen 10</vt:lpstr>
      <vt:lpstr>Revenue Gen 09</vt:lpstr>
      <vt:lpstr>Revenue Gen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2016-08-23T05:27:25Z</cp:lastPrinted>
  <dcterms:created xsi:type="dcterms:W3CDTF">2010-08-19T10:28:17Z</dcterms:created>
  <dcterms:modified xsi:type="dcterms:W3CDTF">2023-06-15T12:25:52Z</dcterms:modified>
</cp:coreProperties>
</file>