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LongTerm-Insurance\"/>
    </mc:Choice>
  </mc:AlternateContent>
  <bookViews>
    <workbookView xWindow="0" yWindow="0" windowWidth="21600" windowHeight="9735"/>
  </bookViews>
  <sheets>
    <sheet name="Assets Long 22" sheetId="17" r:id="rId1"/>
    <sheet name="Assets Long 21" sheetId="16" r:id="rId2"/>
    <sheet name="Assets Long 20" sheetId="15" r:id="rId3"/>
    <sheet name="Assets Long 19" sheetId="14" r:id="rId4"/>
    <sheet name="Assets Long 18" sheetId="13" r:id="rId5"/>
    <sheet name="Assets Long 17" sheetId="12" r:id="rId6"/>
    <sheet name="Assets Long 16" sheetId="11" r:id="rId7"/>
    <sheet name="Assets Long 15" sheetId="10" r:id="rId8"/>
    <sheet name="Assets Long 14" sheetId="7" r:id="rId9"/>
    <sheet name="Assets Long 13" sheetId="6" r:id="rId10"/>
    <sheet name="Assets Long 12" sheetId="5" r:id="rId11"/>
    <sheet name="Assets Long 11" sheetId="4" r:id="rId12"/>
    <sheet name="Assets Long 10" sheetId="3" r:id="rId13"/>
    <sheet name="Assets Long 09" sheetId="2" r:id="rId14"/>
    <sheet name="Assets Long 08" sheetId="9" r:id="rId15"/>
  </sheets>
  <calcPr calcId="152511"/>
</workbook>
</file>

<file path=xl/calcChain.xml><?xml version="1.0" encoding="utf-8"?>
<calcChain xmlns="http://schemas.openxmlformats.org/spreadsheetml/2006/main">
  <c r="L36" i="17" l="1"/>
  <c r="K36" i="17"/>
  <c r="J36" i="17"/>
  <c r="I36" i="17"/>
  <c r="H36" i="17"/>
  <c r="G36" i="17"/>
  <c r="F36" i="17"/>
  <c r="E36" i="17"/>
  <c r="D36" i="17"/>
  <c r="C36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M36" i="17" l="1"/>
  <c r="L36" i="16"/>
  <c r="K36" i="16"/>
  <c r="J36" i="16"/>
  <c r="I36" i="16"/>
  <c r="H36" i="16"/>
  <c r="G36" i="16"/>
  <c r="F36" i="16"/>
  <c r="E36" i="16"/>
  <c r="D36" i="16"/>
  <c r="C36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6" i="16"/>
  <c r="M5" i="16"/>
  <c r="M36" i="16" l="1"/>
  <c r="C36" i="15"/>
  <c r="L36" i="15"/>
  <c r="K36" i="15"/>
  <c r="J36" i="15"/>
  <c r="I36" i="15"/>
  <c r="H36" i="15"/>
  <c r="G36" i="15"/>
  <c r="F36" i="15"/>
  <c r="E36" i="15"/>
  <c r="D36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36" i="15" l="1"/>
  <c r="M6" i="11"/>
  <c r="M7" i="11"/>
  <c r="M8" i="11"/>
  <c r="M9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5" i="11"/>
  <c r="C13" i="11" l="1"/>
  <c r="M13" i="11" s="1"/>
  <c r="C12" i="11"/>
  <c r="M12" i="11" s="1"/>
  <c r="C11" i="11"/>
  <c r="M11" i="11" s="1"/>
  <c r="C10" i="11"/>
  <c r="M10" i="11" s="1"/>
  <c r="C36" i="11" l="1"/>
  <c r="M6" i="12"/>
  <c r="M7" i="12"/>
  <c r="M8" i="12"/>
  <c r="M9" i="12"/>
  <c r="M10" i="12"/>
  <c r="M12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5" i="12"/>
  <c r="C13" i="12"/>
  <c r="M13" i="12" s="1"/>
  <c r="C12" i="12"/>
  <c r="C11" i="12"/>
  <c r="M11" i="12" s="1"/>
  <c r="C10" i="12"/>
  <c r="C36" i="12" l="1"/>
  <c r="M6" i="13"/>
  <c r="M7" i="13"/>
  <c r="M8" i="13"/>
  <c r="M9" i="13"/>
  <c r="M10" i="13"/>
  <c r="M12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5" i="13"/>
  <c r="C13" i="13"/>
  <c r="M13" i="13" s="1"/>
  <c r="C12" i="13"/>
  <c r="C11" i="13"/>
  <c r="M11" i="13" s="1"/>
  <c r="C10" i="13"/>
  <c r="C36" i="13" l="1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5" i="14"/>
  <c r="C36" i="14"/>
  <c r="L36" i="14" l="1"/>
  <c r="K36" i="14"/>
  <c r="J36" i="14"/>
  <c r="I36" i="14"/>
  <c r="H36" i="14"/>
  <c r="G36" i="14"/>
  <c r="F36" i="14"/>
  <c r="E36" i="14"/>
  <c r="D36" i="14"/>
  <c r="M36" i="14" l="1"/>
  <c r="K34" i="11"/>
  <c r="M34" i="11" s="1"/>
  <c r="D36" i="13" l="1"/>
  <c r="L36" i="13" l="1"/>
  <c r="J36" i="13"/>
  <c r="I36" i="13"/>
  <c r="H36" i="13"/>
  <c r="G36" i="13"/>
  <c r="F36" i="13"/>
  <c r="E36" i="13"/>
  <c r="M36" i="13" l="1"/>
  <c r="K36" i="13"/>
  <c r="L36" i="12" l="1"/>
  <c r="K36" i="12"/>
  <c r="J36" i="12"/>
  <c r="I36" i="12"/>
  <c r="H36" i="12"/>
  <c r="G36" i="12"/>
  <c r="F36" i="12"/>
  <c r="E36" i="12"/>
  <c r="D36" i="12"/>
  <c r="M36" i="12" l="1"/>
  <c r="J36" i="11" l="1"/>
  <c r="G36" i="11" l="1"/>
  <c r="E36" i="11" l="1"/>
  <c r="M36" i="11" l="1"/>
  <c r="L36" i="11"/>
  <c r="K36" i="11"/>
  <c r="I36" i="11"/>
  <c r="H36" i="11"/>
  <c r="F36" i="11"/>
  <c r="D36" i="11"/>
  <c r="C30" i="10" l="1"/>
  <c r="C23" i="10"/>
  <c r="M23" i="10" s="1"/>
  <c r="L36" i="10"/>
  <c r="K36" i="10"/>
  <c r="J36" i="10"/>
  <c r="I36" i="10"/>
  <c r="H36" i="10"/>
  <c r="G36" i="10"/>
  <c r="F36" i="10"/>
  <c r="E36" i="10"/>
  <c r="D36" i="10"/>
  <c r="M34" i="10"/>
  <c r="M33" i="10"/>
  <c r="M32" i="10"/>
  <c r="M31" i="10"/>
  <c r="M29" i="10"/>
  <c r="M28" i="10"/>
  <c r="M27" i="10"/>
  <c r="M26" i="10"/>
  <c r="M25" i="10"/>
  <c r="M24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C36" i="10" l="1"/>
  <c r="M30" i="10"/>
  <c r="M36" i="10" s="1"/>
  <c r="C36" i="7"/>
  <c r="J36" i="7"/>
  <c r="L36" i="7" l="1"/>
  <c r="K36" i="7"/>
  <c r="I36" i="7"/>
  <c r="H36" i="7"/>
  <c r="G36" i="7"/>
  <c r="F36" i="7"/>
  <c r="E36" i="7"/>
  <c r="D36" i="7"/>
  <c r="M34" i="7"/>
  <c r="M33" i="7"/>
  <c r="N33" i="7" s="1"/>
  <c r="M32" i="7"/>
  <c r="N32" i="7" s="1"/>
  <c r="M31" i="7"/>
  <c r="N31" i="7" s="1"/>
  <c r="M30" i="7"/>
  <c r="N30" i="7" s="1"/>
  <c r="M29" i="7"/>
  <c r="N29" i="7" s="1"/>
  <c r="M28" i="7"/>
  <c r="N28" i="7" s="1"/>
  <c r="M27" i="7"/>
  <c r="N27" i="7" s="1"/>
  <c r="M26" i="7"/>
  <c r="N26" i="7" s="1"/>
  <c r="M25" i="7"/>
  <c r="N25" i="7" s="1"/>
  <c r="M24" i="7"/>
  <c r="N24" i="7" s="1"/>
  <c r="M23" i="7"/>
  <c r="N23" i="7" s="1"/>
  <c r="M22" i="7"/>
  <c r="N22" i="7" s="1"/>
  <c r="M21" i="7"/>
  <c r="N21" i="7" s="1"/>
  <c r="M20" i="7"/>
  <c r="N20" i="7" s="1"/>
  <c r="M19" i="7"/>
  <c r="N19" i="7" s="1"/>
  <c r="M18" i="7"/>
  <c r="N18" i="7" s="1"/>
  <c r="M17" i="7"/>
  <c r="N17" i="7" s="1"/>
  <c r="M16" i="7"/>
  <c r="N16" i="7" s="1"/>
  <c r="M15" i="7"/>
  <c r="N15" i="7" s="1"/>
  <c r="M14" i="7"/>
  <c r="N14" i="7" s="1"/>
  <c r="M13" i="7"/>
  <c r="N13" i="7" s="1"/>
  <c r="M12" i="7"/>
  <c r="N12" i="7" s="1"/>
  <c r="M11" i="7"/>
  <c r="N11" i="7" s="1"/>
  <c r="M10" i="7"/>
  <c r="N10" i="7" s="1"/>
  <c r="M9" i="7"/>
  <c r="N9" i="7" s="1"/>
  <c r="M8" i="7"/>
  <c r="N8" i="7" s="1"/>
  <c r="M7" i="7"/>
  <c r="N7" i="7" s="1"/>
  <c r="M6" i="7"/>
  <c r="N6" i="7" s="1"/>
  <c r="M5" i="7"/>
  <c r="N5" i="7" s="1"/>
  <c r="N34" i="7" l="1"/>
  <c r="N36" i="7" s="1"/>
  <c r="M36" i="7"/>
  <c r="M33" i="6"/>
  <c r="M34" i="6"/>
  <c r="D36" i="6" l="1"/>
  <c r="E36" i="6"/>
  <c r="F36" i="6"/>
  <c r="G36" i="6"/>
  <c r="H36" i="6"/>
  <c r="I36" i="6"/>
  <c r="J36" i="6"/>
  <c r="K36" i="6"/>
  <c r="L36" i="6"/>
  <c r="C36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L37" i="5"/>
  <c r="K37" i="5"/>
  <c r="J37" i="5"/>
  <c r="I37" i="5"/>
  <c r="H37" i="5"/>
  <c r="G37" i="5"/>
  <c r="F37" i="5"/>
  <c r="E37" i="5"/>
  <c r="D37" i="5"/>
  <c r="M34" i="5"/>
  <c r="M33" i="5"/>
  <c r="M32" i="5"/>
  <c r="M31" i="5"/>
  <c r="M30" i="5"/>
  <c r="C29" i="5"/>
  <c r="M29" i="5" s="1"/>
  <c r="C28" i="5"/>
  <c r="M28" i="5" s="1"/>
  <c r="C27" i="5"/>
  <c r="M27" i="5" s="1"/>
  <c r="M26" i="5"/>
  <c r="M25" i="5"/>
  <c r="C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K35" i="4"/>
  <c r="J35" i="4"/>
  <c r="I35" i="4"/>
  <c r="E35" i="4"/>
  <c r="M33" i="4"/>
  <c r="M32" i="4"/>
  <c r="M31" i="4"/>
  <c r="M30" i="4"/>
  <c r="M29" i="4"/>
  <c r="B28" i="4"/>
  <c r="M28" i="4"/>
  <c r="B27" i="4"/>
  <c r="M27" i="4"/>
  <c r="H26" i="4"/>
  <c r="H35" i="4"/>
  <c r="B26" i="4"/>
  <c r="M26" i="4"/>
  <c r="M25" i="4"/>
  <c r="M24" i="4"/>
  <c r="G23" i="4"/>
  <c r="G35" i="4"/>
  <c r="F23" i="4"/>
  <c r="B23" i="4"/>
  <c r="B35" i="4" s="1"/>
  <c r="M22" i="4"/>
  <c r="M21" i="4"/>
  <c r="M20" i="4"/>
  <c r="M19" i="4"/>
  <c r="M18" i="4"/>
  <c r="M17" i="4"/>
  <c r="M16" i="4"/>
  <c r="M15" i="4"/>
  <c r="M14" i="4"/>
  <c r="C13" i="4"/>
  <c r="L12" i="4"/>
  <c r="L35" i="4"/>
  <c r="F12" i="4"/>
  <c r="F35" i="4"/>
  <c r="D12" i="4"/>
  <c r="C12" i="4"/>
  <c r="M12" i="4" s="1"/>
  <c r="D11" i="4"/>
  <c r="D35" i="4" s="1"/>
  <c r="C11" i="4"/>
  <c r="M11" i="4" s="1"/>
  <c r="M10" i="4"/>
  <c r="M9" i="4"/>
  <c r="M8" i="4"/>
  <c r="M7" i="4"/>
  <c r="M6" i="4"/>
  <c r="N35" i="3"/>
  <c r="L35" i="3"/>
  <c r="I35" i="3"/>
  <c r="H35" i="3"/>
  <c r="E35" i="3"/>
  <c r="O33" i="3"/>
  <c r="O32" i="3"/>
  <c r="K32" i="3"/>
  <c r="O31" i="3"/>
  <c r="O30" i="3"/>
  <c r="O29" i="3"/>
  <c r="D28" i="3"/>
  <c r="C28" i="3"/>
  <c r="O28" i="3" s="1"/>
  <c r="B28" i="3"/>
  <c r="M27" i="3"/>
  <c r="F27" i="3"/>
  <c r="B27" i="3"/>
  <c r="O27" i="3" s="1"/>
  <c r="F26" i="3"/>
  <c r="C26" i="3"/>
  <c r="B26" i="3"/>
  <c r="J25" i="3"/>
  <c r="F25" i="3"/>
  <c r="O24" i="3"/>
  <c r="G23" i="3"/>
  <c r="F23" i="3"/>
  <c r="B23" i="3"/>
  <c r="B35" i="3"/>
  <c r="O22" i="3"/>
  <c r="O21" i="3"/>
  <c r="O20" i="3"/>
  <c r="O19" i="3"/>
  <c r="O18" i="3"/>
  <c r="O17" i="3"/>
  <c r="K16" i="3"/>
  <c r="O16" i="3"/>
  <c r="K15" i="3"/>
  <c r="O15" i="3"/>
  <c r="J14" i="3"/>
  <c r="J13" i="3"/>
  <c r="G13" i="3"/>
  <c r="C13" i="3"/>
  <c r="O13" i="3" s="1"/>
  <c r="M12" i="3"/>
  <c r="K12" i="3"/>
  <c r="K14" i="3" s="1"/>
  <c r="F12" i="3"/>
  <c r="F35" i="3" s="1"/>
  <c r="D12" i="3"/>
  <c r="C12" i="3"/>
  <c r="M11" i="3"/>
  <c r="J11" i="3"/>
  <c r="G11" i="3"/>
  <c r="D11" i="3"/>
  <c r="D35" i="3"/>
  <c r="C11" i="3"/>
  <c r="O10" i="3"/>
  <c r="O9" i="3"/>
  <c r="G8" i="3"/>
  <c r="O8" i="3" s="1"/>
  <c r="O7" i="3"/>
  <c r="O6" i="3"/>
  <c r="O6" i="2"/>
  <c r="O7" i="2"/>
  <c r="H8" i="2"/>
  <c r="O8" i="2" s="1"/>
  <c r="O9" i="2"/>
  <c r="O10" i="2"/>
  <c r="B11" i="2"/>
  <c r="D11" i="2"/>
  <c r="H11" i="2"/>
  <c r="B12" i="2"/>
  <c r="D12" i="2"/>
  <c r="D35" i="2" s="1"/>
  <c r="L12" i="2"/>
  <c r="H13" i="2"/>
  <c r="O13" i="2" s="1"/>
  <c r="D14" i="2"/>
  <c r="O14" i="2" s="1"/>
  <c r="L14" i="2"/>
  <c r="O15" i="2"/>
  <c r="O16" i="2"/>
  <c r="O17" i="2"/>
  <c r="O18" i="2"/>
  <c r="O19" i="2"/>
  <c r="O20" i="2"/>
  <c r="C21" i="2"/>
  <c r="O21" i="2" s="1"/>
  <c r="O22" i="2"/>
  <c r="C23" i="2"/>
  <c r="O23" i="2"/>
  <c r="O24" i="2"/>
  <c r="O25" i="2"/>
  <c r="O26" i="2"/>
  <c r="C27" i="2"/>
  <c r="O27" i="2" s="1"/>
  <c r="B28" i="2"/>
  <c r="C28" i="2"/>
  <c r="O29" i="2"/>
  <c r="O30" i="2"/>
  <c r="O31" i="2"/>
  <c r="L32" i="2"/>
  <c r="O32" i="2" s="1"/>
  <c r="O33" i="2"/>
  <c r="C35" i="2"/>
  <c r="E35" i="2"/>
  <c r="F35" i="2"/>
  <c r="G35" i="2"/>
  <c r="J35" i="2"/>
  <c r="K35" i="2"/>
  <c r="M35" i="2"/>
  <c r="N35" i="2"/>
  <c r="O26" i="3"/>
  <c r="O23" i="3"/>
  <c r="M23" i="4"/>
  <c r="O14" i="3" l="1"/>
  <c r="K35" i="3"/>
  <c r="C35" i="4"/>
  <c r="M35" i="4"/>
  <c r="G35" i="3"/>
  <c r="B35" i="2"/>
  <c r="L11" i="2"/>
  <c r="L35" i="2" s="1"/>
  <c r="O12" i="2"/>
  <c r="J35" i="3"/>
  <c r="O12" i="3"/>
  <c r="O25" i="3"/>
  <c r="M36" i="6"/>
  <c r="O11" i="2"/>
  <c r="C35" i="3"/>
  <c r="M35" i="3"/>
  <c r="H35" i="2"/>
  <c r="M13" i="4"/>
  <c r="O28" i="2"/>
  <c r="O11" i="3"/>
  <c r="C37" i="5"/>
  <c r="M37" i="5" s="1"/>
  <c r="M23" i="5"/>
  <c r="O35" i="2" l="1"/>
  <c r="O35" i="3"/>
</calcChain>
</file>

<file path=xl/comments1.xml><?xml version="1.0" encoding="utf-8"?>
<comments xmlns="http://schemas.openxmlformats.org/spreadsheetml/2006/main">
  <authors>
    <author>FINANCIAL SERVICES COMMISSION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FINANCIAL SERVICES COMMISSION:</t>
        </r>
        <r>
          <rPr>
            <sz val="8"/>
            <color indexed="81"/>
            <rFont val="Tahoma"/>
            <family val="2"/>
          </rPr>
          <t xml:space="preserve">
Includes Property held for resale of Rs925,000</t>
        </r>
      </text>
    </comment>
  </commentList>
</comments>
</file>

<file path=xl/sharedStrings.xml><?xml version="1.0" encoding="utf-8"?>
<sst xmlns="http://schemas.openxmlformats.org/spreadsheetml/2006/main" count="1036" uniqueCount="145">
  <si>
    <t>ALBATROSS</t>
  </si>
  <si>
    <t>ANGLO MTIUS</t>
  </si>
  <si>
    <t xml:space="preserve">BAI </t>
  </si>
  <si>
    <t>CEYLINCO STELLA</t>
  </si>
  <si>
    <t>IOGA</t>
  </si>
  <si>
    <t>ISLAND LIFE</t>
  </si>
  <si>
    <t>LA PRUDENCE</t>
  </si>
  <si>
    <t>LAMCO</t>
  </si>
  <si>
    <t>LIC</t>
  </si>
  <si>
    <t>MTIAN EAGLE</t>
  </si>
  <si>
    <t>MTIUS UNION</t>
  </si>
  <si>
    <t>SICOM</t>
  </si>
  <si>
    <t>SUN</t>
  </si>
  <si>
    <t>TOTAL</t>
  </si>
  <si>
    <t>Intangibles</t>
  </si>
  <si>
    <t>Land and Buildings</t>
  </si>
  <si>
    <t>Investment Property</t>
  </si>
  <si>
    <t>Plant and Equipment</t>
  </si>
  <si>
    <t>Investment in related companies</t>
  </si>
  <si>
    <t>Equity Securities - Listed locally</t>
  </si>
  <si>
    <t>Equity Securities - Unlisted locally</t>
  </si>
  <si>
    <t>Equity Securities - Listed overseas</t>
  </si>
  <si>
    <t>Equity Securities - Unlisted overseas</t>
  </si>
  <si>
    <t>Governement Debt Securities</t>
  </si>
  <si>
    <t>Other Debt Securities</t>
  </si>
  <si>
    <t>Mortgage loans  - Residential</t>
  </si>
  <si>
    <t>Mortgage loans - Commercial</t>
  </si>
  <si>
    <t>Policy loans</t>
  </si>
  <si>
    <t>Other secured loans</t>
  </si>
  <si>
    <t>Unsecured loans</t>
  </si>
  <si>
    <t>Loans to Directors, agents, associates</t>
  </si>
  <si>
    <t>Loans to Related companies</t>
  </si>
  <si>
    <t>Cash</t>
  </si>
  <si>
    <t>Cash at bank</t>
  </si>
  <si>
    <t>Deposits - Bank</t>
  </si>
  <si>
    <t>Deposits - Other financial institutions</t>
  </si>
  <si>
    <t>Premium Receivables</t>
  </si>
  <si>
    <t>Receivables from related companies</t>
  </si>
  <si>
    <t>Receivables from Reinsurers</t>
  </si>
  <si>
    <t>Receivables from Insurers</t>
  </si>
  <si>
    <t>Other receivables</t>
  </si>
  <si>
    <t>Other Assets</t>
  </si>
  <si>
    <t>LONG TERM INSURANCE BUSINESS</t>
  </si>
  <si>
    <t>DISTRIBUTION OF ASSETS  - YEAR 2009</t>
  </si>
  <si>
    <t>LAPRUDENCE</t>
  </si>
  <si>
    <t>(Amount Rs 000)</t>
  </si>
  <si>
    <t>ANGLO</t>
  </si>
  <si>
    <t>BAI</t>
  </si>
  <si>
    <t>CIM LIFE</t>
  </si>
  <si>
    <t>LPM</t>
  </si>
  <si>
    <t>MUA</t>
  </si>
  <si>
    <t>PHOENIX</t>
  </si>
  <si>
    <t>DISTRIBUTION OF ASSETS- YEAR 2010</t>
  </si>
  <si>
    <t xml:space="preserve">LPM </t>
  </si>
  <si>
    <t xml:space="preserve">IOGA </t>
  </si>
  <si>
    <t xml:space="preserve">PHOENIX </t>
  </si>
  <si>
    <t xml:space="preserve">LAMCO </t>
  </si>
  <si>
    <t>DISTRIBUTION OF ASSETS-YEAR 2011</t>
  </si>
  <si>
    <t>IOGA i</t>
  </si>
  <si>
    <t>LAMCO i</t>
  </si>
  <si>
    <t>PHOENIX i</t>
  </si>
  <si>
    <t>DISTRIBUTION OF ASSETS-YEAR 2012</t>
  </si>
  <si>
    <t xml:space="preserve"> Intangibles </t>
  </si>
  <si>
    <t xml:space="preserve"> Land and Buildings </t>
  </si>
  <si>
    <t xml:space="preserve"> Investment Property </t>
  </si>
  <si>
    <t xml:space="preserve"> Plant and Equipment </t>
  </si>
  <si>
    <t xml:space="preserve"> Investment in related companies </t>
  </si>
  <si>
    <t xml:space="preserve"> Equity Securities - Listed locally </t>
  </si>
  <si>
    <t xml:space="preserve"> Unlisted Locally </t>
  </si>
  <si>
    <t xml:space="preserve"> Listed Overseas </t>
  </si>
  <si>
    <t xml:space="preserve"> Unlisted Overseas </t>
  </si>
  <si>
    <t xml:space="preserve"> Government Debt Securities </t>
  </si>
  <si>
    <t xml:space="preserve"> Other Debt Securities </t>
  </si>
  <si>
    <t xml:space="preserve"> Mortgage loans - Residential </t>
  </si>
  <si>
    <t xml:space="preserve"> Commercial </t>
  </si>
  <si>
    <t xml:space="preserve"> Policy Loans </t>
  </si>
  <si>
    <t xml:space="preserve"> Other secured loans </t>
  </si>
  <si>
    <t xml:space="preserve"> Unsecured loans </t>
  </si>
  <si>
    <t xml:space="preserve"> Loans to Directors, Agents, Associates </t>
  </si>
  <si>
    <t xml:space="preserve"> Loans to Related Companies - Secured </t>
  </si>
  <si>
    <t xml:space="preserve"> Unsecured </t>
  </si>
  <si>
    <t xml:space="preserve"> Cash </t>
  </si>
  <si>
    <t xml:space="preserve"> Cash at Bank </t>
  </si>
  <si>
    <t xml:space="preserve"> Deposits - Bank </t>
  </si>
  <si>
    <t xml:space="preserve"> Deposits - Other Financial Institution </t>
  </si>
  <si>
    <t xml:space="preserve"> Premium Receivables - Agents </t>
  </si>
  <si>
    <t xml:space="preserve"> Brokers </t>
  </si>
  <si>
    <t xml:space="preserve"> Policyholders </t>
  </si>
  <si>
    <t xml:space="preserve"> Receivables from reinsurers </t>
  </si>
  <si>
    <t xml:space="preserve"> Receivables from related companies </t>
  </si>
  <si>
    <t xml:space="preserve"> Other receivables </t>
  </si>
  <si>
    <t xml:space="preserve"> Other Assets </t>
  </si>
  <si>
    <t>IOGA L</t>
  </si>
  <si>
    <t xml:space="preserve">ISLAND </t>
  </si>
  <si>
    <t>LAMCO L</t>
  </si>
  <si>
    <t>METROPOLITAN</t>
  </si>
  <si>
    <t>PHOENIX L</t>
  </si>
  <si>
    <t>SICOM L</t>
  </si>
  <si>
    <t>DISTRIBUTION OF ASSETS-YEAR 2013</t>
  </si>
  <si>
    <t>IOGA*</t>
  </si>
  <si>
    <t>LAMCO*</t>
  </si>
  <si>
    <t>PHOENIX*</t>
  </si>
  <si>
    <t>Government Debt Securities</t>
  </si>
  <si>
    <t>Mortgage loans - Residential</t>
  </si>
  <si>
    <t>Policy Loans</t>
  </si>
  <si>
    <t>Loans to Directors, Agents, Associates</t>
  </si>
  <si>
    <t>Loans to Related Companies - Secured</t>
  </si>
  <si>
    <t>Cash at Bank</t>
  </si>
  <si>
    <t>Deposits - Other Financial Institution</t>
  </si>
  <si>
    <t>Premium Receivables - Agents</t>
  </si>
  <si>
    <t>Receivables from reinsurers</t>
  </si>
  <si>
    <t>* Closed Life Fund</t>
  </si>
  <si>
    <t>Equity Securities - Unlisted Locally</t>
  </si>
  <si>
    <t>Equity Securities - Listed Overseas</t>
  </si>
  <si>
    <t>Equity Securities - Unlisted Overseas</t>
  </si>
  <si>
    <t>Loans to Related Companies - Unsecured</t>
  </si>
  <si>
    <t>Premium Receivables - Brokers</t>
  </si>
  <si>
    <t>Premium Receivables - Policyholders</t>
  </si>
  <si>
    <t>DISTRIBUTION OF ASSETS - YEAR 2014</t>
  </si>
  <si>
    <t>DISTRIBUTION OF ASSETS  - YEAR 2008</t>
  </si>
  <si>
    <t>DISTRIBUTION OF ASSETS - YEAR 2015</t>
  </si>
  <si>
    <t>DISTRIBUTION OF ASSETS - YEAR 2016</t>
  </si>
  <si>
    <t>SWAN LIFE LTD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</si>
  <si>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</si>
  <si>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r>
      <rPr>
        <b/>
        <sz val="10"/>
        <rFont val="Arial Narrow"/>
        <family val="2"/>
      </rPr>
      <t xml:space="preserve">Source: </t>
    </r>
    <r>
      <rPr>
        <sz val="10"/>
        <rFont val="Arial Narrow"/>
        <family val="2"/>
      </rPr>
      <t>Financial Services Commission (FSC) Mauritius</t>
    </r>
  </si>
  <si>
    <t>IOGA *</t>
  </si>
  <si>
    <t>LAMCO *</t>
  </si>
  <si>
    <t>PHOENIX *</t>
  </si>
  <si>
    <t>Total (Without BAI)</t>
  </si>
  <si>
    <t>DISTRIBUTION OF ASSETS - YEAR 2017</t>
  </si>
  <si>
    <t>Property and Equipment</t>
  </si>
  <si>
    <t>Local Equities</t>
  </si>
  <si>
    <t>Overseas Equities</t>
  </si>
  <si>
    <t>Debt Securities</t>
  </si>
  <si>
    <t>Loans and Receivables</t>
  </si>
  <si>
    <t>Cash and Deposits</t>
  </si>
  <si>
    <t>DISTRIBUTION OF ASSETS - YEAR 2018</t>
  </si>
  <si>
    <r>
      <rPr>
        <b/>
        <i/>
        <sz val="10"/>
        <rFont val="Arial Narrow"/>
        <family val="2"/>
      </rPr>
      <t xml:space="preserve">Note: </t>
    </r>
    <r>
      <rPr>
        <i/>
        <sz val="10"/>
        <rFont val="Arial Narrow"/>
        <family val="2"/>
      </rPr>
      <t>Data for 2015 exclude that for one long-term insurer</t>
    </r>
  </si>
  <si>
    <t>DISTRIBUTION OF ASSETS - YEAR 2019</t>
  </si>
  <si>
    <t>NICL</t>
  </si>
  <si>
    <t>DISTRIBUTION OF ASSETS - YEAR 2020</t>
  </si>
  <si>
    <t>Afri Life Insurance Ltd (previously known as Metropolitan Life (Mauritius) Ltd) **</t>
  </si>
  <si>
    <t>** Date of change of name: September 2019</t>
  </si>
  <si>
    <t>DISTRIBUTION OF ASSETS - YEAR 2021</t>
  </si>
  <si>
    <t>DISTRIBUTION OF ASSETS -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</si>
</sst>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.000%"/>
    <numFmt numFmtId="167" formatCode="0.000"/>
    <numFmt numFmtId="168" formatCode="0_);\(0\)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color indexed="17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2"/>
      <name val="Arial"/>
      <family val="2"/>
    </font>
    <font>
      <sz val="10"/>
      <color indexed="17"/>
      <name val="Arial Narrow"/>
      <family val="2"/>
    </font>
    <font>
      <sz val="10"/>
      <color theme="9" tint="-0.499984740745262"/>
      <name val="Arial Narrow"/>
      <family val="2"/>
    </font>
    <font>
      <sz val="10"/>
      <color rgb="FF00B050"/>
      <name val="Arial Narrow"/>
      <family val="2"/>
    </font>
    <font>
      <sz val="10"/>
      <color indexed="8"/>
      <name val="Arial Narrow"/>
      <family val="2"/>
    </font>
    <font>
      <sz val="12"/>
      <name val="Arial Narrow"/>
      <family val="2"/>
    </font>
    <font>
      <sz val="10"/>
      <color theme="5" tint="-0.499984740745262"/>
      <name val="Arial Narrow"/>
      <family val="2"/>
    </font>
    <font>
      <b/>
      <sz val="10"/>
      <color theme="9" tint="-0.499984740745262"/>
      <name val="Arial Narrow"/>
      <family val="2"/>
    </font>
    <font>
      <sz val="10"/>
      <color theme="6" tint="-0.499984740745262"/>
      <name val="Arial Narrow"/>
      <family val="2"/>
    </font>
    <font>
      <sz val="10"/>
      <color rgb="FF0000CC"/>
      <name val="Arial Narrow"/>
      <family val="2"/>
    </font>
    <font>
      <b/>
      <sz val="12"/>
      <color indexed="9"/>
      <name val="Arial Narrow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</cellStyleXfs>
  <cellXfs count="191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164" fontId="3" fillId="0" borderId="0" xfId="0" applyNumberFormat="1" applyFont="1"/>
    <xf numFmtId="164" fontId="3" fillId="0" borderId="0" xfId="0" applyNumberFormat="1" applyFont="1" applyFill="1"/>
    <xf numFmtId="0" fontId="6" fillId="0" borderId="0" xfId="3" applyFill="1"/>
    <xf numFmtId="0" fontId="6" fillId="0" borderId="0" xfId="3" applyFill="1" applyAlignment="1">
      <alignment vertical="center" wrapText="1"/>
    </xf>
    <xf numFmtId="0" fontId="6" fillId="0" borderId="0" xfId="3"/>
    <xf numFmtId="164" fontId="3" fillId="0" borderId="0" xfId="3" applyNumberFormat="1" applyFont="1"/>
    <xf numFmtId="0" fontId="1" fillId="0" borderId="0" xfId="4" applyFill="1"/>
    <xf numFmtId="0" fontId="1" fillId="0" borderId="0" xfId="4" applyFill="1" applyAlignment="1">
      <alignment vertical="center" wrapText="1"/>
    </xf>
    <xf numFmtId="0" fontId="1" fillId="0" borderId="0" xfId="4"/>
    <xf numFmtId="0" fontId="3" fillId="0" borderId="0" xfId="0" applyFont="1" applyFill="1" applyBorder="1"/>
    <xf numFmtId="43" fontId="0" fillId="0" borderId="0" xfId="0" applyNumberFormat="1" applyFill="1" applyBorder="1"/>
    <xf numFmtId="0" fontId="8" fillId="0" borderId="0" xfId="0" applyFont="1"/>
    <xf numFmtId="164" fontId="10" fillId="2" borderId="7" xfId="2" applyNumberFormat="1" applyFont="1" applyFill="1" applyBorder="1" applyAlignment="1">
      <alignment horizontal="center" vertical="center" wrapText="1"/>
    </xf>
    <xf numFmtId="0" fontId="8" fillId="5" borderId="7" xfId="3" applyFont="1" applyFill="1" applyBorder="1" applyAlignment="1">
      <alignment vertical="center" wrapText="1"/>
    </xf>
    <xf numFmtId="164" fontId="11" fillId="0" borderId="7" xfId="1" applyNumberFormat="1" applyFont="1" applyBorder="1"/>
    <xf numFmtId="164" fontId="11" fillId="0" borderId="10" xfId="1" applyNumberFormat="1" applyFont="1" applyBorder="1"/>
    <xf numFmtId="0" fontId="12" fillId="10" borderId="16" xfId="4" applyFont="1" applyFill="1" applyBorder="1" applyAlignment="1">
      <alignment horizontal="center" vertical="center" wrapText="1"/>
    </xf>
    <xf numFmtId="164" fontId="13" fillId="0" borderId="16" xfId="1" applyNumberFormat="1" applyFont="1" applyBorder="1"/>
    <xf numFmtId="164" fontId="14" fillId="0" borderId="0" xfId="1" applyNumberFormat="1" applyFont="1"/>
    <xf numFmtId="164" fontId="11" fillId="0" borderId="18" xfId="1" applyNumberFormat="1" applyFont="1" applyBorder="1"/>
    <xf numFmtId="164" fontId="11" fillId="0" borderId="17" xfId="1" applyNumberFormat="1" applyFont="1" applyBorder="1"/>
    <xf numFmtId="164" fontId="11" fillId="0" borderId="0" xfId="1" applyNumberFormat="1" applyFont="1"/>
    <xf numFmtId="0" fontId="15" fillId="0" borderId="0" xfId="3" applyFont="1" applyFill="1" applyBorder="1" applyAlignment="1"/>
    <xf numFmtId="0" fontId="15" fillId="0" borderId="0" xfId="0" applyFont="1"/>
    <xf numFmtId="0" fontId="17" fillId="0" borderId="0" xfId="0" applyFont="1"/>
    <xf numFmtId="164" fontId="14" fillId="0" borderId="0" xfId="1" applyNumberFormat="1" applyFont="1" applyAlignment="1">
      <alignment horizontal="left"/>
    </xf>
    <xf numFmtId="0" fontId="15" fillId="0" borderId="0" xfId="3" applyFont="1" applyFill="1" applyBorder="1" applyAlignment="1">
      <alignment horizontal="left"/>
    </xf>
    <xf numFmtId="0" fontId="8" fillId="0" borderId="0" xfId="4" applyFont="1" applyFill="1" applyBorder="1"/>
    <xf numFmtId="164" fontId="10" fillId="2" borderId="1" xfId="2" applyNumberFormat="1" applyFont="1" applyFill="1" applyBorder="1" applyAlignment="1">
      <alignment horizontal="center" vertical="center" wrapText="1"/>
    </xf>
    <xf numFmtId="0" fontId="12" fillId="10" borderId="14" xfId="4" applyFont="1" applyFill="1" applyBorder="1" applyAlignment="1">
      <alignment horizontal="center" vertical="center" wrapText="1"/>
    </xf>
    <xf numFmtId="0" fontId="8" fillId="5" borderId="6" xfId="3" applyFont="1" applyFill="1" applyBorder="1" applyAlignment="1">
      <alignment vertical="center" wrapText="1"/>
    </xf>
    <xf numFmtId="3" fontId="8" fillId="0" borderId="3" xfId="4" applyNumberFormat="1" applyFont="1" applyFill="1" applyBorder="1" applyAlignment="1">
      <alignment horizontal="right" vertical="center"/>
    </xf>
    <xf numFmtId="3" fontId="8" fillId="0" borderId="3" xfId="1" applyNumberFormat="1" applyFont="1" applyFill="1" applyBorder="1" applyAlignment="1">
      <alignment horizontal="right" vertical="center" wrapText="1"/>
    </xf>
    <xf numFmtId="3" fontId="8" fillId="0" borderId="3" xfId="4" applyNumberFormat="1" applyFont="1" applyFill="1" applyBorder="1" applyAlignment="1">
      <alignment horizontal="right" vertical="center" wrapText="1"/>
    </xf>
    <xf numFmtId="3" fontId="8" fillId="0" borderId="4" xfId="1" applyNumberFormat="1" applyFont="1" applyFill="1" applyBorder="1" applyAlignment="1">
      <alignment horizontal="right" vertical="center" wrapText="1"/>
    </xf>
    <xf numFmtId="3" fontId="8" fillId="0" borderId="4" xfId="1" applyNumberFormat="1" applyFont="1" applyFill="1" applyBorder="1" applyAlignment="1">
      <alignment vertical="center" wrapText="1"/>
    </xf>
    <xf numFmtId="164" fontId="12" fillId="0" borderId="8" xfId="1" applyNumberFormat="1" applyFont="1" applyFill="1" applyBorder="1" applyAlignment="1">
      <alignment vertical="center" wrapText="1"/>
    </xf>
    <xf numFmtId="3" fontId="8" fillId="0" borderId="7" xfId="1" applyNumberFormat="1" applyFont="1" applyFill="1" applyBorder="1" applyAlignment="1">
      <alignment horizontal="right" vertical="center" wrapText="1"/>
    </xf>
    <xf numFmtId="3" fontId="8" fillId="0" borderId="7" xfId="4" applyNumberFormat="1" applyFont="1" applyFill="1" applyBorder="1" applyAlignment="1">
      <alignment horizontal="right" vertical="center" wrapText="1"/>
    </xf>
    <xf numFmtId="3" fontId="8" fillId="0" borderId="7" xfId="1" applyNumberFormat="1" applyFont="1" applyFill="1" applyBorder="1" applyAlignment="1">
      <alignment vertical="center" wrapText="1"/>
    </xf>
    <xf numFmtId="3" fontId="8" fillId="0" borderId="7" xfId="4" applyNumberFormat="1" applyFont="1" applyFill="1" applyBorder="1" applyAlignment="1">
      <alignment vertical="center" wrapText="1"/>
    </xf>
    <xf numFmtId="3" fontId="8" fillId="0" borderId="7" xfId="1" applyNumberFormat="1" applyFont="1" applyFill="1" applyBorder="1" applyAlignment="1">
      <alignment horizontal="right" vertical="center"/>
    </xf>
    <xf numFmtId="3" fontId="8" fillId="0" borderId="10" xfId="1" applyNumberFormat="1" applyFont="1" applyFill="1" applyBorder="1" applyAlignment="1">
      <alignment horizontal="right" vertical="center" wrapText="1"/>
    </xf>
    <xf numFmtId="3" fontId="8" fillId="0" borderId="10" xfId="4" applyNumberFormat="1" applyFont="1" applyFill="1" applyBorder="1" applyAlignment="1">
      <alignment horizontal="right" vertical="center" wrapText="1"/>
    </xf>
    <xf numFmtId="3" fontId="8" fillId="0" borderId="10" xfId="4" applyNumberFormat="1" applyFont="1" applyFill="1" applyBorder="1" applyAlignment="1">
      <alignment vertical="center" wrapText="1"/>
    </xf>
    <xf numFmtId="0" fontId="8" fillId="0" borderId="9" xfId="4" applyFont="1" applyFill="1" applyBorder="1" applyAlignment="1">
      <alignment vertical="center" wrapText="1"/>
    </xf>
    <xf numFmtId="41" fontId="8" fillId="0" borderId="10" xfId="1" applyNumberFormat="1" applyFont="1" applyFill="1" applyBorder="1" applyAlignment="1">
      <alignment vertical="center" wrapText="1"/>
    </xf>
    <xf numFmtId="41" fontId="19" fillId="0" borderId="10" xfId="1" applyNumberFormat="1" applyFont="1" applyFill="1" applyBorder="1" applyAlignment="1">
      <alignment vertical="center" wrapText="1"/>
    </xf>
    <xf numFmtId="41" fontId="19" fillId="0" borderId="11" xfId="1" applyNumberFormat="1" applyFont="1" applyFill="1" applyBorder="1" applyAlignment="1">
      <alignment vertical="center" wrapText="1"/>
    </xf>
    <xf numFmtId="41" fontId="8" fillId="0" borderId="11" xfId="1" applyNumberFormat="1" applyFont="1" applyFill="1" applyBorder="1" applyAlignment="1">
      <alignment vertical="center" wrapText="1"/>
    </xf>
    <xf numFmtId="164" fontId="12" fillId="0" borderId="12" xfId="1" applyNumberFormat="1" applyFont="1" applyFill="1" applyBorder="1" applyAlignment="1">
      <alignment vertical="center" wrapText="1"/>
    </xf>
    <xf numFmtId="0" fontId="12" fillId="10" borderId="15" xfId="4" applyFont="1" applyFill="1" applyBorder="1" applyAlignment="1">
      <alignment vertical="center" wrapText="1"/>
    </xf>
    <xf numFmtId="41" fontId="12" fillId="0" borderId="13" xfId="1" applyNumberFormat="1" applyFont="1" applyFill="1" applyBorder="1" applyAlignment="1">
      <alignment vertical="center" wrapText="1"/>
    </xf>
    <xf numFmtId="41" fontId="12" fillId="0" borderId="14" xfId="1" applyNumberFormat="1" applyFont="1" applyFill="1" applyBorder="1" applyAlignment="1">
      <alignment vertical="center" wrapText="1"/>
    </xf>
    <xf numFmtId="0" fontId="8" fillId="0" borderId="0" xfId="4" applyFont="1"/>
    <xf numFmtId="0" fontId="20" fillId="0" borderId="0" xfId="4" applyFont="1" applyFill="1" applyAlignment="1">
      <alignment horizontal="center" vertical="center"/>
    </xf>
    <xf numFmtId="164" fontId="9" fillId="0" borderId="0" xfId="4" applyNumberFormat="1" applyFont="1" applyFill="1" applyAlignment="1">
      <alignment horizontal="center" vertical="center"/>
    </xf>
    <xf numFmtId="0" fontId="18" fillId="0" borderId="0" xfId="4" applyFont="1" applyFill="1"/>
    <xf numFmtId="41" fontId="12" fillId="0" borderId="0" xfId="1" applyNumberFormat="1" applyFont="1" applyFill="1" applyBorder="1" applyAlignment="1">
      <alignment vertical="center" wrapText="1"/>
    </xf>
    <xf numFmtId="3" fontId="18" fillId="0" borderId="0" xfId="4" applyNumberFormat="1" applyFont="1" applyFill="1"/>
    <xf numFmtId="165" fontId="21" fillId="0" borderId="0" xfId="4" applyNumberFormat="1" applyFont="1" applyFill="1"/>
    <xf numFmtId="0" fontId="21" fillId="0" borderId="0" xfId="4" applyFont="1" applyFill="1"/>
    <xf numFmtId="164" fontId="18" fillId="0" borderId="0" xfId="1" applyNumberFormat="1" applyFont="1" applyFill="1" applyBorder="1" applyAlignment="1">
      <alignment horizontal="center" vertical="center"/>
    </xf>
    <xf numFmtId="165" fontId="21" fillId="0" borderId="0" xfId="4" applyNumberFormat="1" applyFont="1" applyFill="1" applyAlignment="1">
      <alignment horizontal="center"/>
    </xf>
    <xf numFmtId="0" fontId="21" fillId="0" borderId="0" xfId="4" applyFont="1"/>
    <xf numFmtId="165" fontId="21" fillId="0" borderId="0" xfId="4" applyNumberFormat="1" applyFont="1"/>
    <xf numFmtId="0" fontId="18" fillId="0" borderId="0" xfId="4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0" fontId="17" fillId="0" borderId="0" xfId="4" applyFont="1"/>
    <xf numFmtId="0" fontId="17" fillId="0" borderId="0" xfId="4" applyFont="1" applyFill="1"/>
    <xf numFmtId="3" fontId="9" fillId="0" borderId="0" xfId="4" applyNumberFormat="1" applyFont="1" applyBorder="1" applyAlignment="1">
      <alignment horizontal="right" vertical="center"/>
    </xf>
    <xf numFmtId="0" fontId="8" fillId="0" borderId="2" xfId="4" applyFont="1" applyFill="1" applyBorder="1" applyAlignment="1">
      <alignment vertical="center" wrapText="1"/>
    </xf>
    <xf numFmtId="41" fontId="8" fillId="0" borderId="3" xfId="4" applyNumberFormat="1" applyFont="1" applyFill="1" applyBorder="1" applyAlignment="1">
      <alignment vertical="center"/>
    </xf>
    <xf numFmtId="164" fontId="19" fillId="0" borderId="3" xfId="1" applyNumberFormat="1" applyFont="1" applyFill="1" applyBorder="1" applyAlignment="1">
      <alignment vertical="center" wrapText="1"/>
    </xf>
    <xf numFmtId="0" fontId="8" fillId="0" borderId="3" xfId="4" applyFont="1" applyFill="1" applyBorder="1" applyAlignment="1">
      <alignment vertical="center" wrapText="1"/>
    </xf>
    <xf numFmtId="165" fontId="19" fillId="0" borderId="4" xfId="1" applyNumberFormat="1" applyFont="1" applyFill="1" applyBorder="1" applyAlignment="1">
      <alignment vertical="center" wrapText="1"/>
    </xf>
    <xf numFmtId="41" fontId="8" fillId="0" borderId="4" xfId="1" applyNumberFormat="1" applyFont="1" applyFill="1" applyBorder="1" applyAlignment="1">
      <alignment vertical="center" wrapText="1"/>
    </xf>
    <xf numFmtId="164" fontId="8" fillId="0" borderId="4" xfId="1" applyNumberFormat="1" applyFont="1" applyFill="1" applyBorder="1" applyAlignment="1">
      <alignment vertical="center" wrapText="1"/>
    </xf>
    <xf numFmtId="164" fontId="19" fillId="0" borderId="4" xfId="1" applyNumberFormat="1" applyFont="1" applyFill="1" applyBorder="1" applyAlignment="1">
      <alignment vertical="center" wrapText="1"/>
    </xf>
    <xf numFmtId="164" fontId="12" fillId="0" borderId="5" xfId="1" applyNumberFormat="1" applyFont="1" applyFill="1" applyBorder="1" applyAlignment="1">
      <alignment vertical="center" wrapText="1"/>
    </xf>
    <xf numFmtId="41" fontId="8" fillId="0" borderId="7" xfId="1" applyNumberFormat="1" applyFont="1" applyFill="1" applyBorder="1" applyAlignment="1">
      <alignment vertical="center" wrapText="1"/>
    </xf>
    <xf numFmtId="41" fontId="19" fillId="0" borderId="7" xfId="1" applyNumberFormat="1" applyFont="1" applyFill="1" applyBorder="1" applyAlignment="1">
      <alignment vertical="center" wrapText="1"/>
    </xf>
    <xf numFmtId="3" fontId="19" fillId="0" borderId="7" xfId="4" applyNumberFormat="1" applyFont="1" applyFill="1" applyBorder="1" applyAlignment="1">
      <alignment vertical="center" wrapText="1"/>
    </xf>
    <xf numFmtId="41" fontId="19" fillId="9" borderId="7" xfId="1" applyNumberFormat="1" applyFont="1" applyFill="1" applyBorder="1" applyAlignment="1">
      <alignment vertical="center" wrapText="1"/>
    </xf>
    <xf numFmtId="38" fontId="8" fillId="0" borderId="7" xfId="1" applyNumberFormat="1" applyFont="1" applyFill="1" applyBorder="1" applyAlignment="1">
      <alignment vertical="center"/>
    </xf>
    <xf numFmtId="0" fontId="12" fillId="0" borderId="15" xfId="4" applyFont="1" applyFill="1" applyBorder="1" applyAlignment="1">
      <alignment vertical="center" wrapText="1"/>
    </xf>
    <xf numFmtId="41" fontId="24" fillId="0" borderId="13" xfId="1" applyNumberFormat="1" applyFont="1" applyFill="1" applyBorder="1" applyAlignment="1">
      <alignment vertical="center" wrapText="1"/>
    </xf>
    <xf numFmtId="0" fontId="8" fillId="0" borderId="0" xfId="3" applyFont="1" applyFill="1" applyBorder="1"/>
    <xf numFmtId="0" fontId="12" fillId="7" borderId="14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vertical="center" wrapText="1"/>
    </xf>
    <xf numFmtId="41" fontId="8" fillId="0" borderId="3" xfId="3" applyNumberFormat="1" applyFont="1" applyFill="1" applyBorder="1" applyAlignment="1">
      <alignment vertical="center"/>
    </xf>
    <xf numFmtId="164" fontId="19" fillId="0" borderId="3" xfId="2" applyNumberFormat="1" applyFont="1" applyFill="1" applyBorder="1" applyAlignment="1">
      <alignment vertical="center" wrapText="1"/>
    </xf>
    <xf numFmtId="0" fontId="8" fillId="0" borderId="3" xfId="3" applyFont="1" applyFill="1" applyBorder="1" applyAlignment="1">
      <alignment vertical="center" wrapText="1"/>
    </xf>
    <xf numFmtId="165" fontId="19" fillId="0" borderId="4" xfId="2" applyNumberFormat="1" applyFont="1" applyFill="1" applyBorder="1" applyAlignment="1">
      <alignment vertical="center" wrapText="1"/>
    </xf>
    <xf numFmtId="41" fontId="8" fillId="0" borderId="4" xfId="2" applyNumberFormat="1" applyFont="1" applyFill="1" applyBorder="1" applyAlignment="1">
      <alignment vertical="center" wrapText="1"/>
    </xf>
    <xf numFmtId="164" fontId="8" fillId="0" borderId="4" xfId="2" applyNumberFormat="1" applyFont="1" applyFill="1" applyBorder="1" applyAlignment="1">
      <alignment vertical="center" wrapText="1"/>
    </xf>
    <xf numFmtId="164" fontId="19" fillId="0" borderId="4" xfId="2" applyNumberFormat="1" applyFont="1" applyFill="1" applyBorder="1" applyAlignment="1">
      <alignment vertical="center" wrapText="1"/>
    </xf>
    <xf numFmtId="164" fontId="12" fillId="0" borderId="5" xfId="2" applyNumberFormat="1" applyFont="1" applyFill="1" applyBorder="1" applyAlignment="1">
      <alignment vertical="center" wrapText="1"/>
    </xf>
    <xf numFmtId="41" fontId="8" fillId="0" borderId="7" xfId="2" applyNumberFormat="1" applyFont="1" applyFill="1" applyBorder="1" applyAlignment="1">
      <alignment vertical="center" wrapText="1"/>
    </xf>
    <xf numFmtId="164" fontId="12" fillId="0" borderId="8" xfId="2" applyNumberFormat="1" applyFont="1" applyFill="1" applyBorder="1" applyAlignment="1">
      <alignment vertical="center" wrapText="1"/>
    </xf>
    <xf numFmtId="38" fontId="8" fillId="0" borderId="7" xfId="2" applyNumberFormat="1" applyFont="1" applyFill="1" applyBorder="1" applyAlignment="1">
      <alignment vertical="center"/>
    </xf>
    <xf numFmtId="0" fontId="8" fillId="0" borderId="9" xfId="3" applyFont="1" applyFill="1" applyBorder="1" applyAlignment="1">
      <alignment vertical="center" wrapText="1"/>
    </xf>
    <xf numFmtId="41" fontId="8" fillId="0" borderId="10" xfId="2" applyNumberFormat="1" applyFont="1" applyFill="1" applyBorder="1" applyAlignment="1">
      <alignment vertical="center" wrapText="1"/>
    </xf>
    <xf numFmtId="41" fontId="8" fillId="0" borderId="11" xfId="2" applyNumberFormat="1" applyFont="1" applyFill="1" applyBorder="1" applyAlignment="1">
      <alignment vertical="center" wrapText="1"/>
    </xf>
    <xf numFmtId="164" fontId="12" fillId="0" borderId="12" xfId="2" applyNumberFormat="1" applyFont="1" applyFill="1" applyBorder="1" applyAlignment="1">
      <alignment vertical="center" wrapText="1"/>
    </xf>
    <xf numFmtId="0" fontId="12" fillId="7" borderId="15" xfId="3" applyFont="1" applyFill="1" applyBorder="1" applyAlignment="1">
      <alignment vertical="center" wrapText="1"/>
    </xf>
    <xf numFmtId="41" fontId="12" fillId="0" borderId="13" xfId="2" applyNumberFormat="1" applyFont="1" applyFill="1" applyBorder="1" applyAlignment="1">
      <alignment vertical="center" wrapText="1"/>
    </xf>
    <xf numFmtId="41" fontId="12" fillId="0" borderId="14" xfId="2" applyNumberFormat="1" applyFont="1" applyFill="1" applyBorder="1" applyAlignment="1">
      <alignment vertical="center" wrapText="1"/>
    </xf>
    <xf numFmtId="0" fontId="8" fillId="0" borderId="0" xfId="3" applyFont="1"/>
    <xf numFmtId="0" fontId="25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164" fontId="9" fillId="0" borderId="0" xfId="3" applyNumberFormat="1" applyFont="1" applyFill="1" applyAlignment="1">
      <alignment horizontal="center" vertical="center"/>
    </xf>
    <xf numFmtId="0" fontId="18" fillId="0" borderId="0" xfId="3" applyFont="1" applyFill="1"/>
    <xf numFmtId="41" fontId="12" fillId="0" borderId="0" xfId="2" applyNumberFormat="1" applyFont="1" applyFill="1" applyBorder="1" applyAlignment="1">
      <alignment vertical="center" wrapText="1"/>
    </xf>
    <xf numFmtId="3" fontId="18" fillId="0" borderId="0" xfId="3" applyNumberFormat="1" applyFont="1" applyFill="1"/>
    <xf numFmtId="165" fontId="21" fillId="0" borderId="0" xfId="3" applyNumberFormat="1" applyFont="1" applyFill="1"/>
    <xf numFmtId="0" fontId="21" fillId="0" borderId="0" xfId="3" applyFont="1" applyFill="1"/>
    <xf numFmtId="164" fontId="18" fillId="0" borderId="0" xfId="2" applyNumberFormat="1" applyFont="1" applyFill="1" applyBorder="1" applyAlignment="1">
      <alignment horizontal="center" vertical="center"/>
    </xf>
    <xf numFmtId="165" fontId="21" fillId="0" borderId="0" xfId="3" applyNumberFormat="1" applyFont="1" applyFill="1" applyAlignment="1">
      <alignment horizontal="center"/>
    </xf>
    <xf numFmtId="164" fontId="21" fillId="0" borderId="0" xfId="3" applyNumberFormat="1" applyFont="1" applyFill="1"/>
    <xf numFmtId="38" fontId="21" fillId="0" borderId="0" xfId="3" applyNumberFormat="1" applyFont="1" applyFill="1"/>
    <xf numFmtId="166" fontId="26" fillId="0" borderId="0" xfId="3" applyNumberFormat="1" applyFont="1" applyFill="1"/>
    <xf numFmtId="167" fontId="21" fillId="0" borderId="0" xfId="3" applyNumberFormat="1" applyFont="1"/>
    <xf numFmtId="0" fontId="21" fillId="0" borderId="0" xfId="3" applyFont="1"/>
    <xf numFmtId="165" fontId="21" fillId="0" borderId="0" xfId="3" applyNumberFormat="1" applyFont="1"/>
    <xf numFmtId="164" fontId="25" fillId="0" borderId="0" xfId="2" applyNumberFormat="1" applyFont="1" applyFill="1" applyBorder="1" applyAlignment="1">
      <alignment horizontal="center" vertical="center"/>
    </xf>
    <xf numFmtId="164" fontId="19" fillId="0" borderId="0" xfId="2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0" xfId="3" applyFont="1"/>
    <xf numFmtId="0" fontId="17" fillId="0" borderId="0" xfId="3" applyFont="1" applyFill="1"/>
    <xf numFmtId="3" fontId="9" fillId="0" borderId="0" xfId="3" applyNumberFormat="1" applyFont="1" applyBorder="1" applyAlignment="1">
      <alignment horizontal="right" vertical="center"/>
    </xf>
    <xf numFmtId="164" fontId="8" fillId="0" borderId="3" xfId="2" applyNumberFormat="1" applyFont="1" applyFill="1" applyBorder="1" applyAlignment="1">
      <alignment vertical="center" wrapText="1"/>
    </xf>
    <xf numFmtId="165" fontId="8" fillId="0" borderId="4" xfId="2" applyNumberFormat="1" applyFont="1" applyFill="1" applyBorder="1" applyAlignment="1">
      <alignment vertical="center" wrapText="1"/>
    </xf>
    <xf numFmtId="0" fontId="8" fillId="8" borderId="6" xfId="3" applyFont="1" applyFill="1" applyBorder="1" applyAlignment="1">
      <alignment vertical="center" wrapText="1"/>
    </xf>
    <xf numFmtId="164" fontId="21" fillId="0" borderId="0" xfId="3" applyNumberFormat="1" applyFont="1"/>
    <xf numFmtId="38" fontId="21" fillId="0" borderId="0" xfId="0" applyNumberFormat="1" applyFont="1" applyFill="1" applyAlignment="1">
      <alignment horizontal="center"/>
    </xf>
    <xf numFmtId="0" fontId="21" fillId="0" borderId="0" xfId="0" applyFont="1"/>
    <xf numFmtId="164" fontId="21" fillId="0" borderId="0" xfId="0" applyNumberFormat="1" applyFont="1"/>
    <xf numFmtId="0" fontId="21" fillId="0" borderId="0" xfId="0" applyFont="1" applyFill="1"/>
    <xf numFmtId="0" fontId="8" fillId="0" borderId="0" xfId="0" applyFont="1" applyFill="1"/>
    <xf numFmtId="164" fontId="21" fillId="0" borderId="0" xfId="0" applyNumberFormat="1" applyFont="1" applyFill="1"/>
    <xf numFmtId="0" fontId="17" fillId="0" borderId="0" xfId="0" applyFont="1" applyFill="1"/>
    <xf numFmtId="0" fontId="8" fillId="0" borderId="7" xfId="0" applyFont="1" applyFill="1" applyBorder="1"/>
    <xf numFmtId="38" fontId="21" fillId="0" borderId="7" xfId="0" applyNumberFormat="1" applyFont="1" applyFill="1" applyBorder="1" applyAlignment="1">
      <alignment horizontal="center"/>
    </xf>
    <xf numFmtId="3" fontId="9" fillId="0" borderId="7" xfId="3" applyNumberFormat="1" applyFont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 wrapText="1"/>
    </xf>
    <xf numFmtId="164" fontId="10" fillId="2" borderId="7" xfId="1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164" fontId="21" fillId="0" borderId="7" xfId="1" applyNumberFormat="1" applyFont="1" applyFill="1" applyBorder="1" applyAlignment="1">
      <alignment vertical="center" wrapText="1"/>
    </xf>
    <xf numFmtId="164" fontId="10" fillId="0" borderId="7" xfId="1" applyNumberFormat="1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41" fontId="8" fillId="0" borderId="7" xfId="0" applyNumberFormat="1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8" fillId="0" borderId="0" xfId="3" applyFont="1" applyFill="1" applyBorder="1" applyAlignment="1"/>
    <xf numFmtId="164" fontId="21" fillId="0" borderId="7" xfId="1" applyNumberFormat="1" applyFont="1" applyFill="1" applyBorder="1"/>
    <xf numFmtId="0" fontId="12" fillId="2" borderId="7" xfId="0" applyFont="1" applyFill="1" applyBorder="1" applyAlignment="1">
      <alignment vertical="center" wrapText="1"/>
    </xf>
    <xf numFmtId="164" fontId="10" fillId="2" borderId="7" xfId="1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horizontal="left" vertical="top"/>
    </xf>
    <xf numFmtId="164" fontId="14" fillId="0" borderId="0" xfId="1" applyNumberFormat="1" applyFont="1" applyAlignment="1">
      <alignment horizontal="left"/>
    </xf>
    <xf numFmtId="0" fontId="8" fillId="5" borderId="17" xfId="3" applyFont="1" applyFill="1" applyBorder="1" applyAlignment="1">
      <alignment vertical="center" wrapText="1"/>
    </xf>
    <xf numFmtId="0" fontId="8" fillId="5" borderId="18" xfId="3" applyFont="1" applyFill="1" applyBorder="1" applyAlignment="1">
      <alignment vertical="center" wrapText="1"/>
    </xf>
    <xf numFmtId="0" fontId="8" fillId="5" borderId="20" xfId="3" applyFont="1" applyFill="1" applyBorder="1" applyAlignment="1">
      <alignment vertical="center" wrapText="1"/>
    </xf>
    <xf numFmtId="0" fontId="8" fillId="0" borderId="21" xfId="4" applyFont="1" applyFill="1" applyBorder="1" applyAlignment="1">
      <alignment vertical="center" wrapText="1"/>
    </xf>
    <xf numFmtId="0" fontId="12" fillId="10" borderId="22" xfId="4" applyFont="1" applyFill="1" applyBorder="1" applyAlignment="1">
      <alignment vertical="center" wrapText="1"/>
    </xf>
    <xf numFmtId="0" fontId="8" fillId="0" borderId="19" xfId="4" applyFont="1" applyFill="1" applyBorder="1" applyAlignment="1">
      <alignment vertical="center" wrapText="1"/>
    </xf>
    <xf numFmtId="0" fontId="12" fillId="0" borderId="22" xfId="4" applyFont="1" applyFill="1" applyBorder="1" applyAlignment="1">
      <alignment vertical="center" wrapText="1"/>
    </xf>
    <xf numFmtId="0" fontId="8" fillId="5" borderId="23" xfId="3" applyFont="1" applyFill="1" applyBorder="1" applyAlignment="1">
      <alignment vertical="center" wrapText="1"/>
    </xf>
    <xf numFmtId="3" fontId="19" fillId="0" borderId="10" xfId="4" applyNumberFormat="1" applyFont="1" applyFill="1" applyBorder="1" applyAlignment="1">
      <alignment vertical="center" wrapText="1"/>
    </xf>
    <xf numFmtId="164" fontId="12" fillId="0" borderId="24" xfId="1" applyNumberFormat="1" applyFont="1" applyFill="1" applyBorder="1" applyAlignment="1">
      <alignment vertical="center" wrapText="1"/>
    </xf>
    <xf numFmtId="164" fontId="13" fillId="0" borderId="7" xfId="1" applyNumberFormat="1" applyFont="1" applyBorder="1"/>
    <xf numFmtId="164" fontId="8" fillId="0" borderId="0" xfId="0" applyNumberFormat="1" applyFont="1"/>
    <xf numFmtId="3" fontId="21" fillId="0" borderId="0" xfId="4" applyNumberFormat="1" applyFont="1"/>
    <xf numFmtId="3" fontId="8" fillId="0" borderId="0" xfId="0" applyNumberFormat="1" applyFont="1"/>
    <xf numFmtId="0" fontId="7" fillId="6" borderId="7" xfId="3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right" vertical="center"/>
    </xf>
    <xf numFmtId="164" fontId="14" fillId="0" borderId="0" xfId="1" applyNumberFormat="1" applyFont="1" applyAlignment="1">
      <alignment horizontal="left"/>
    </xf>
    <xf numFmtId="0" fontId="7" fillId="6" borderId="0" xfId="3" applyFont="1" applyFill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27" fillId="4" borderId="0" xfId="3" applyFont="1" applyFill="1" applyAlignment="1">
      <alignment horizontal="center"/>
    </xf>
    <xf numFmtId="0" fontId="27" fillId="6" borderId="0" xfId="0" applyFont="1" applyFill="1" applyAlignment="1">
      <alignment horizontal="center"/>
    </xf>
    <xf numFmtId="0" fontId="27" fillId="4" borderId="7" xfId="0" applyFont="1" applyFill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Normal="100" workbookViewId="0">
      <pane xSplit="1" ySplit="4" topLeftCell="E5" activePane="bottomRight" state="frozen"/>
      <selection activeCell="E13" sqref="E13"/>
      <selection pane="topRight" activeCell="E13" sqref="E13"/>
      <selection pane="bottomLeft" activeCell="E13" sqref="E13"/>
      <selection pane="bottomRight" activeCell="D36" sqref="D36"/>
    </sheetView>
  </sheetViews>
  <sheetFormatPr defaultRowHeight="12.75" x14ac:dyDescent="0.2"/>
  <cols>
    <col min="1" max="1" width="36.7109375" style="16" customWidth="1"/>
    <col min="2" max="2" width="22.42578125" style="16" hidden="1" customWidth="1"/>
    <col min="3" max="8" width="15.7109375" style="16" customWidth="1"/>
    <col min="9" max="9" width="18.140625" style="16" customWidth="1"/>
    <col min="10" max="13" width="15.7109375" style="16" customWidth="1"/>
  </cols>
  <sheetData>
    <row r="1" spans="1:14" s="29" customFormat="1" ht="14.1" customHeight="1" x14ac:dyDescent="0.25">
      <c r="A1" s="182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/>
    </row>
    <row r="2" spans="1:14" s="29" customFormat="1" ht="14.1" customHeight="1" x14ac:dyDescent="0.25">
      <c r="A2" s="182" t="s">
        <v>144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/>
    </row>
    <row r="3" spans="1:14" ht="14.1" customHeight="1" x14ac:dyDescent="0.2">
      <c r="A3" s="183" t="s">
        <v>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4" ht="51" customHeight="1" x14ac:dyDescent="0.2">
      <c r="A4" s="17"/>
      <c r="B4" s="17"/>
      <c r="C4" s="17" t="s">
        <v>139</v>
      </c>
      <c r="D4" s="17" t="s">
        <v>93</v>
      </c>
      <c r="E4" s="17" t="s">
        <v>125</v>
      </c>
      <c r="F4" s="17" t="s">
        <v>6</v>
      </c>
      <c r="G4" s="17" t="s">
        <v>126</v>
      </c>
      <c r="H4" s="17" t="s">
        <v>8</v>
      </c>
      <c r="I4" s="17" t="s">
        <v>141</v>
      </c>
      <c r="J4" s="17" t="s">
        <v>127</v>
      </c>
      <c r="K4" s="17" t="s">
        <v>97</v>
      </c>
      <c r="L4" s="17" t="s">
        <v>122</v>
      </c>
      <c r="M4" s="17" t="s">
        <v>13</v>
      </c>
    </row>
    <row r="5" spans="1:14" ht="15.95" customHeight="1" x14ac:dyDescent="0.2">
      <c r="A5" s="18" t="s">
        <v>14</v>
      </c>
      <c r="B5" s="168" t="s">
        <v>41</v>
      </c>
      <c r="C5" s="19">
        <v>1295.4939999999999</v>
      </c>
      <c r="D5" s="19">
        <v>93.747470000000007</v>
      </c>
      <c r="E5" s="19">
        <v>1E-3</v>
      </c>
      <c r="F5" s="19">
        <v>23670.205000000002</v>
      </c>
      <c r="G5" s="19">
        <v>0</v>
      </c>
      <c r="H5" s="19">
        <v>0</v>
      </c>
      <c r="I5" s="19">
        <v>14.311</v>
      </c>
      <c r="J5" s="19">
        <v>2951.25</v>
      </c>
      <c r="K5" s="19">
        <v>45016.527000000002</v>
      </c>
      <c r="L5" s="19">
        <v>5137.2619999999997</v>
      </c>
      <c r="M5" s="178">
        <f>SUM(C5:L5)</f>
        <v>78178.797470000005</v>
      </c>
    </row>
    <row r="6" spans="1:14" ht="15.95" customHeight="1" x14ac:dyDescent="0.2">
      <c r="A6" s="18" t="s">
        <v>15</v>
      </c>
      <c r="B6" s="168" t="s">
        <v>130</v>
      </c>
      <c r="C6" s="19">
        <v>420809.73700000002</v>
      </c>
      <c r="D6" s="19">
        <v>18311.054</v>
      </c>
      <c r="E6" s="19">
        <v>0</v>
      </c>
      <c r="F6" s="19">
        <v>54720</v>
      </c>
      <c r="G6" s="19">
        <v>0</v>
      </c>
      <c r="H6" s="19">
        <v>106613</v>
      </c>
      <c r="I6" s="19">
        <v>0</v>
      </c>
      <c r="J6" s="19">
        <v>0</v>
      </c>
      <c r="K6" s="19">
        <v>227999.59</v>
      </c>
      <c r="L6" s="19">
        <v>191234.37599999999</v>
      </c>
      <c r="M6" s="178">
        <f t="shared" ref="M6:M34" si="0">SUM(C6:L6)</f>
        <v>1019687.757</v>
      </c>
    </row>
    <row r="7" spans="1:14" ht="15.95" customHeight="1" x14ac:dyDescent="0.2">
      <c r="A7" s="18" t="s">
        <v>16</v>
      </c>
      <c r="B7" s="168" t="s">
        <v>130</v>
      </c>
      <c r="C7" s="19">
        <v>2205300</v>
      </c>
      <c r="D7" s="19">
        <v>208560.00020999997</v>
      </c>
      <c r="E7" s="19">
        <v>1100</v>
      </c>
      <c r="F7" s="19">
        <v>131467.698</v>
      </c>
      <c r="G7" s="19">
        <v>2815</v>
      </c>
      <c r="H7" s="19">
        <v>400000</v>
      </c>
      <c r="I7" s="19">
        <v>0</v>
      </c>
      <c r="J7" s="19">
        <v>0</v>
      </c>
      <c r="K7" s="19">
        <v>1685202.9790000001</v>
      </c>
      <c r="L7" s="19">
        <v>367615.25699999998</v>
      </c>
      <c r="M7" s="178">
        <f t="shared" si="0"/>
        <v>5002060.9342100006</v>
      </c>
    </row>
    <row r="8" spans="1:14" ht="15.95" customHeight="1" x14ac:dyDescent="0.2">
      <c r="A8" s="18" t="s">
        <v>17</v>
      </c>
      <c r="B8" s="168" t="s">
        <v>130</v>
      </c>
      <c r="C8" s="19">
        <v>6298.2079999999996</v>
      </c>
      <c r="D8" s="19">
        <v>5578.3519999999999</v>
      </c>
      <c r="E8" s="19">
        <v>2E-3</v>
      </c>
      <c r="F8" s="19">
        <v>22612.510999999999</v>
      </c>
      <c r="G8" s="19">
        <v>0.31</v>
      </c>
      <c r="H8" s="19">
        <v>1757.723</v>
      </c>
      <c r="I8" s="19">
        <v>13155.739</v>
      </c>
      <c r="J8" s="19">
        <v>267.101</v>
      </c>
      <c r="K8" s="19">
        <v>49851.616999999998</v>
      </c>
      <c r="L8" s="19">
        <v>43770.605000000003</v>
      </c>
      <c r="M8" s="178">
        <f t="shared" si="0"/>
        <v>143292.16800000001</v>
      </c>
    </row>
    <row r="9" spans="1:14" ht="15.95" customHeight="1" x14ac:dyDescent="0.2">
      <c r="A9" s="18" t="s">
        <v>18</v>
      </c>
      <c r="B9" s="168" t="s">
        <v>18</v>
      </c>
      <c r="C9" s="19">
        <v>0.1</v>
      </c>
      <c r="D9" s="19">
        <v>3933.62</v>
      </c>
      <c r="E9" s="19">
        <v>0</v>
      </c>
      <c r="F9" s="19">
        <v>75</v>
      </c>
      <c r="G9" s="19">
        <v>0</v>
      </c>
      <c r="H9" s="19">
        <v>0</v>
      </c>
      <c r="I9" s="19">
        <v>0</v>
      </c>
      <c r="J9" s="19">
        <v>0</v>
      </c>
      <c r="K9" s="19">
        <v>5564152.5449999999</v>
      </c>
      <c r="L9" s="19">
        <v>552875.61300000001</v>
      </c>
      <c r="M9" s="178">
        <f t="shared" si="0"/>
        <v>6121036.8779999996</v>
      </c>
    </row>
    <row r="10" spans="1:14" ht="15.95" customHeight="1" x14ac:dyDescent="0.2">
      <c r="A10" s="18" t="s">
        <v>19</v>
      </c>
      <c r="B10" s="168" t="s">
        <v>131</v>
      </c>
      <c r="C10" s="19">
        <v>985258.45499999996</v>
      </c>
      <c r="D10" s="19">
        <v>218273.38800000001</v>
      </c>
      <c r="E10" s="19">
        <v>0</v>
      </c>
      <c r="F10" s="19">
        <v>2611454.9640000002</v>
      </c>
      <c r="G10" s="19">
        <v>0</v>
      </c>
      <c r="H10" s="19">
        <v>57199.656999999999</v>
      </c>
      <c r="I10" s="19">
        <v>452119.473</v>
      </c>
      <c r="J10" s="19">
        <v>0</v>
      </c>
      <c r="K10" s="19">
        <v>1977760.8740000001</v>
      </c>
      <c r="L10" s="19">
        <v>11334747.328</v>
      </c>
      <c r="M10" s="178">
        <f t="shared" si="0"/>
        <v>17636814.138999999</v>
      </c>
    </row>
    <row r="11" spans="1:14" ht="15.95" customHeight="1" x14ac:dyDescent="0.2">
      <c r="A11" s="18" t="s">
        <v>112</v>
      </c>
      <c r="B11" s="168" t="s">
        <v>131</v>
      </c>
      <c r="C11" s="19">
        <v>502419.25900000002</v>
      </c>
      <c r="D11" s="19">
        <v>66229.959000000003</v>
      </c>
      <c r="E11" s="19">
        <v>34585.107000000004</v>
      </c>
      <c r="F11" s="19">
        <v>123307.21799999999</v>
      </c>
      <c r="G11" s="19">
        <v>728.4</v>
      </c>
      <c r="H11" s="19">
        <v>0</v>
      </c>
      <c r="I11" s="19">
        <v>56216.195</v>
      </c>
      <c r="J11" s="19">
        <v>0</v>
      </c>
      <c r="K11" s="19">
        <v>503780.41700000002</v>
      </c>
      <c r="L11" s="19">
        <v>3957142.128</v>
      </c>
      <c r="M11" s="178">
        <f t="shared" si="0"/>
        <v>5244408.6830000002</v>
      </c>
    </row>
    <row r="12" spans="1:14" ht="15.95" customHeight="1" x14ac:dyDescent="0.2">
      <c r="A12" s="18" t="s">
        <v>113</v>
      </c>
      <c r="B12" s="168" t="s">
        <v>132</v>
      </c>
      <c r="C12" s="19">
        <v>475560.48100000003</v>
      </c>
      <c r="D12" s="19">
        <v>154537.99593261839</v>
      </c>
      <c r="E12" s="19">
        <v>0</v>
      </c>
      <c r="F12" s="19">
        <v>0</v>
      </c>
      <c r="G12" s="19">
        <v>0</v>
      </c>
      <c r="H12" s="19">
        <v>0</v>
      </c>
      <c r="I12" s="19">
        <v>365276.86200000002</v>
      </c>
      <c r="J12" s="19">
        <v>0</v>
      </c>
      <c r="K12" s="19">
        <v>0</v>
      </c>
      <c r="L12" s="19">
        <v>2297329.8820000002</v>
      </c>
      <c r="M12" s="178">
        <f t="shared" si="0"/>
        <v>3292705.2209326187</v>
      </c>
    </row>
    <row r="13" spans="1:14" ht="15.95" customHeight="1" x14ac:dyDescent="0.2">
      <c r="A13" s="18" t="s">
        <v>114</v>
      </c>
      <c r="B13" s="168" t="s">
        <v>132</v>
      </c>
      <c r="C13" s="19">
        <v>201648.75899999999</v>
      </c>
      <c r="D13" s="19">
        <v>38338.131000000001</v>
      </c>
      <c r="E13" s="19">
        <v>0</v>
      </c>
      <c r="F13" s="19">
        <v>869458.88500000001</v>
      </c>
      <c r="G13" s="19">
        <v>0</v>
      </c>
      <c r="H13" s="19">
        <v>0</v>
      </c>
      <c r="I13" s="19">
        <v>0</v>
      </c>
      <c r="J13" s="19">
        <v>0</v>
      </c>
      <c r="K13" s="19">
        <v>4033.6320000000001</v>
      </c>
      <c r="L13" s="19">
        <v>6382531.8130000001</v>
      </c>
      <c r="M13" s="178">
        <f t="shared" si="0"/>
        <v>7496011.2199999997</v>
      </c>
    </row>
    <row r="14" spans="1:14" ht="15.95" customHeight="1" x14ac:dyDescent="0.2">
      <c r="A14" s="18" t="s">
        <v>102</v>
      </c>
      <c r="B14" s="168" t="s">
        <v>133</v>
      </c>
      <c r="C14" s="19">
        <v>1688756.54</v>
      </c>
      <c r="D14" s="19">
        <v>163804.459</v>
      </c>
      <c r="E14" s="19">
        <v>0</v>
      </c>
      <c r="F14" s="19">
        <v>6782699.1629999997</v>
      </c>
      <c r="G14" s="19">
        <v>0</v>
      </c>
      <c r="H14" s="19">
        <v>3837866.1869999999</v>
      </c>
      <c r="I14" s="19">
        <v>29304.52</v>
      </c>
      <c r="J14" s="19">
        <v>46585.377999999997</v>
      </c>
      <c r="K14" s="19">
        <v>6788937.7070000004</v>
      </c>
      <c r="L14" s="19">
        <v>9729382.0439999998</v>
      </c>
      <c r="M14" s="178">
        <f t="shared" si="0"/>
        <v>29067335.998</v>
      </c>
    </row>
    <row r="15" spans="1:14" ht="15.95" customHeight="1" x14ac:dyDescent="0.2">
      <c r="A15" s="18" t="s">
        <v>24</v>
      </c>
      <c r="B15" s="168" t="s">
        <v>133</v>
      </c>
      <c r="C15" s="19">
        <v>972863.88100000005</v>
      </c>
      <c r="D15" s="19">
        <v>63225.173000000003</v>
      </c>
      <c r="E15" s="19">
        <v>0</v>
      </c>
      <c r="F15" s="19">
        <v>685968.80599999998</v>
      </c>
      <c r="G15" s="19">
        <v>0</v>
      </c>
      <c r="H15" s="19">
        <v>0</v>
      </c>
      <c r="I15" s="19">
        <v>45991.034</v>
      </c>
      <c r="J15" s="19">
        <v>0</v>
      </c>
      <c r="K15" s="19">
        <v>671247.60900000005</v>
      </c>
      <c r="L15" s="19">
        <v>8268320.5769999996</v>
      </c>
      <c r="M15" s="178">
        <f t="shared" si="0"/>
        <v>10707617.08</v>
      </c>
    </row>
    <row r="16" spans="1:14" ht="15.95" customHeight="1" x14ac:dyDescent="0.2">
      <c r="A16" s="18" t="s">
        <v>103</v>
      </c>
      <c r="B16" s="168" t="s">
        <v>134</v>
      </c>
      <c r="C16" s="19">
        <v>239894.872</v>
      </c>
      <c r="D16" s="19">
        <v>28044.921480000001</v>
      </c>
      <c r="E16" s="19">
        <v>614.577</v>
      </c>
      <c r="F16" s="19">
        <v>202499.902</v>
      </c>
      <c r="G16" s="19">
        <v>3102.203</v>
      </c>
      <c r="H16" s="19">
        <v>46491.078000000001</v>
      </c>
      <c r="I16" s="19">
        <v>24044.106</v>
      </c>
      <c r="J16" s="19">
        <v>0</v>
      </c>
      <c r="K16" s="19">
        <v>1014770.688</v>
      </c>
      <c r="L16" s="19">
        <v>2574962.4525799998</v>
      </c>
      <c r="M16" s="178">
        <f t="shared" si="0"/>
        <v>4134424.8000599998</v>
      </c>
    </row>
    <row r="17" spans="1:13" ht="15.95" customHeight="1" x14ac:dyDescent="0.2">
      <c r="A17" s="18" t="s">
        <v>26</v>
      </c>
      <c r="B17" s="168" t="s">
        <v>134</v>
      </c>
      <c r="C17" s="19">
        <v>0</v>
      </c>
      <c r="D17" s="19">
        <v>0</v>
      </c>
      <c r="E17" s="19">
        <v>0</v>
      </c>
      <c r="F17" s="19">
        <v>589.19500000000005</v>
      </c>
      <c r="G17" s="19">
        <v>0</v>
      </c>
      <c r="H17" s="19">
        <v>0</v>
      </c>
      <c r="I17" s="19">
        <v>0</v>
      </c>
      <c r="J17" s="19">
        <v>0</v>
      </c>
      <c r="K17" s="19">
        <v>1291.1990000000001</v>
      </c>
      <c r="L17" s="19">
        <v>3191610.9255599999</v>
      </c>
      <c r="M17" s="178">
        <f t="shared" si="0"/>
        <v>3193491.3195599997</v>
      </c>
    </row>
    <row r="18" spans="1:13" ht="15.95" customHeight="1" x14ac:dyDescent="0.2">
      <c r="A18" s="18" t="s">
        <v>104</v>
      </c>
      <c r="B18" s="168" t="s">
        <v>134</v>
      </c>
      <c r="C18" s="19">
        <v>67081.138000000006</v>
      </c>
      <c r="D18" s="19">
        <v>18816.836330000002</v>
      </c>
      <c r="E18" s="19">
        <v>12.609</v>
      </c>
      <c r="F18" s="19">
        <v>5685.88</v>
      </c>
      <c r="G18" s="19">
        <v>52.287999999999997</v>
      </c>
      <c r="H18" s="19">
        <v>45180.264999999999</v>
      </c>
      <c r="I18" s="19">
        <v>568.57600000000002</v>
      </c>
      <c r="J18" s="19">
        <v>71.197000000000003</v>
      </c>
      <c r="K18" s="19">
        <v>66616.573000000004</v>
      </c>
      <c r="L18" s="19">
        <v>46453.831480000001</v>
      </c>
      <c r="M18" s="178">
        <f t="shared" si="0"/>
        <v>250539.19381</v>
      </c>
    </row>
    <row r="19" spans="1:13" ht="15.95" customHeight="1" x14ac:dyDescent="0.2">
      <c r="A19" s="18" t="s">
        <v>28</v>
      </c>
      <c r="B19" s="168" t="s">
        <v>134</v>
      </c>
      <c r="C19" s="19">
        <v>37929.31</v>
      </c>
      <c r="D19" s="19">
        <v>0</v>
      </c>
      <c r="E19" s="19">
        <v>0</v>
      </c>
      <c r="F19" s="19">
        <v>162288.59299999999</v>
      </c>
      <c r="G19" s="19">
        <v>0</v>
      </c>
      <c r="H19" s="19">
        <v>0</v>
      </c>
      <c r="I19" s="19">
        <v>0</v>
      </c>
      <c r="J19" s="19">
        <v>0</v>
      </c>
      <c r="K19" s="19">
        <v>275125.94400000002</v>
      </c>
      <c r="L19" s="19">
        <v>91884.949049999996</v>
      </c>
      <c r="M19" s="178">
        <f t="shared" si="0"/>
        <v>567228.79605</v>
      </c>
    </row>
    <row r="20" spans="1:13" ht="15.95" customHeight="1" x14ac:dyDescent="0.2">
      <c r="A20" s="18" t="s">
        <v>29</v>
      </c>
      <c r="B20" s="168" t="s">
        <v>134</v>
      </c>
      <c r="C20" s="19">
        <v>4512.4059999999999</v>
      </c>
      <c r="D20" s="19">
        <v>0</v>
      </c>
      <c r="E20" s="19">
        <v>0</v>
      </c>
      <c r="F20" s="19">
        <v>427.65899999999999</v>
      </c>
      <c r="G20" s="19">
        <v>224.12799999999999</v>
      </c>
      <c r="H20" s="19">
        <v>0</v>
      </c>
      <c r="I20" s="19">
        <v>0</v>
      </c>
      <c r="J20" s="19">
        <v>0</v>
      </c>
      <c r="K20" s="19">
        <v>0</v>
      </c>
      <c r="L20" s="19">
        <v>19262.756450000001</v>
      </c>
      <c r="M20" s="178">
        <f t="shared" si="0"/>
        <v>24426.94945</v>
      </c>
    </row>
    <row r="21" spans="1:13" ht="15.95" customHeight="1" x14ac:dyDescent="0.2">
      <c r="A21" s="18" t="s">
        <v>105</v>
      </c>
      <c r="B21" s="168" t="s">
        <v>134</v>
      </c>
      <c r="C21" s="19">
        <v>0</v>
      </c>
      <c r="D21" s="19">
        <v>259.76541000000003</v>
      </c>
      <c r="E21" s="19">
        <v>0</v>
      </c>
      <c r="F21" s="19">
        <v>10273.397000000001</v>
      </c>
      <c r="G21" s="19">
        <v>0</v>
      </c>
      <c r="H21" s="19">
        <v>0</v>
      </c>
      <c r="I21" s="19">
        <v>0</v>
      </c>
      <c r="J21" s="19">
        <v>0</v>
      </c>
      <c r="K21" s="19">
        <v>1108.981</v>
      </c>
      <c r="L21" s="19">
        <v>156237.18588</v>
      </c>
      <c r="M21" s="178">
        <f t="shared" si="0"/>
        <v>167879.32928999999</v>
      </c>
    </row>
    <row r="22" spans="1:13" ht="15.95" customHeight="1" x14ac:dyDescent="0.2">
      <c r="A22" s="18" t="s">
        <v>106</v>
      </c>
      <c r="B22" s="168" t="s">
        <v>134</v>
      </c>
      <c r="C22" s="19">
        <v>0</v>
      </c>
      <c r="D22" s="19">
        <v>43113.099502033932</v>
      </c>
      <c r="E22" s="19">
        <v>0</v>
      </c>
      <c r="F22" s="19">
        <v>33027.324999999997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78">
        <f t="shared" si="0"/>
        <v>76140.424502033929</v>
      </c>
    </row>
    <row r="23" spans="1:13" ht="15.95" customHeight="1" x14ac:dyDescent="0.2">
      <c r="A23" s="18" t="s">
        <v>115</v>
      </c>
      <c r="B23" s="168" t="s">
        <v>134</v>
      </c>
      <c r="C23" s="19">
        <v>0</v>
      </c>
      <c r="D23" s="19">
        <v>69215.336029999977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78">
        <f t="shared" si="0"/>
        <v>69215.336029999977</v>
      </c>
    </row>
    <row r="24" spans="1:13" ht="15.95" customHeight="1" x14ac:dyDescent="0.2">
      <c r="A24" s="18" t="s">
        <v>32</v>
      </c>
      <c r="B24" s="168" t="s">
        <v>135</v>
      </c>
      <c r="C24" s="19">
        <v>25</v>
      </c>
      <c r="D24" s="19">
        <v>13.411</v>
      </c>
      <c r="E24" s="19">
        <v>0</v>
      </c>
      <c r="F24" s="19">
        <v>7.74</v>
      </c>
      <c r="G24" s="19">
        <v>0.44400000000000001</v>
      </c>
      <c r="H24" s="19">
        <v>0</v>
      </c>
      <c r="I24" s="19">
        <v>616.02300000000002</v>
      </c>
      <c r="J24" s="19">
        <v>3</v>
      </c>
      <c r="K24" s="19">
        <v>1687.954</v>
      </c>
      <c r="L24" s="19">
        <v>50</v>
      </c>
      <c r="M24" s="178">
        <f t="shared" si="0"/>
        <v>2403.5720000000001</v>
      </c>
    </row>
    <row r="25" spans="1:13" ht="15.95" customHeight="1" x14ac:dyDescent="0.2">
      <c r="A25" s="18" t="s">
        <v>107</v>
      </c>
      <c r="B25" s="168" t="s">
        <v>135</v>
      </c>
      <c r="C25" s="19">
        <v>2241059.054</v>
      </c>
      <c r="D25" s="19">
        <v>92054.784859999971</v>
      </c>
      <c r="E25" s="19">
        <v>1961.972</v>
      </c>
      <c r="F25" s="19">
        <v>152260.13399999999</v>
      </c>
      <c r="G25" s="19">
        <v>6158.4790000000003</v>
      </c>
      <c r="H25" s="19">
        <v>103291.124</v>
      </c>
      <c r="I25" s="19">
        <v>56421.245000000003</v>
      </c>
      <c r="J25" s="19">
        <v>1220.393</v>
      </c>
      <c r="K25" s="19">
        <v>966026.67200000002</v>
      </c>
      <c r="L25" s="19">
        <v>1700008.4569999999</v>
      </c>
      <c r="M25" s="178">
        <f t="shared" si="0"/>
        <v>5320462.3148599993</v>
      </c>
    </row>
    <row r="26" spans="1:13" ht="15.95" customHeight="1" x14ac:dyDescent="0.2">
      <c r="A26" s="18" t="s">
        <v>34</v>
      </c>
      <c r="B26" s="168" t="s">
        <v>135</v>
      </c>
      <c r="C26" s="19">
        <v>175000</v>
      </c>
      <c r="D26" s="19">
        <v>22986.445309999999</v>
      </c>
      <c r="E26" s="19">
        <v>10000</v>
      </c>
      <c r="F26" s="19">
        <v>246364.84599999999</v>
      </c>
      <c r="G26" s="19">
        <v>13306.7</v>
      </c>
      <c r="H26" s="19">
        <v>240140</v>
      </c>
      <c r="I26" s="19">
        <v>0</v>
      </c>
      <c r="J26" s="19">
        <v>0</v>
      </c>
      <c r="K26" s="19">
        <v>935409.70200000005</v>
      </c>
      <c r="L26" s="19">
        <v>2153252.5759999999</v>
      </c>
      <c r="M26" s="178">
        <f t="shared" si="0"/>
        <v>3796460.2693099999</v>
      </c>
    </row>
    <row r="27" spans="1:13" ht="15.95" customHeight="1" x14ac:dyDescent="0.2">
      <c r="A27" s="18" t="s">
        <v>108</v>
      </c>
      <c r="B27" s="168" t="s">
        <v>135</v>
      </c>
      <c r="C27" s="19">
        <v>0</v>
      </c>
      <c r="D27" s="19">
        <v>0</v>
      </c>
      <c r="E27" s="19">
        <v>4568.75</v>
      </c>
      <c r="F27" s="19">
        <v>0</v>
      </c>
      <c r="G27" s="19">
        <v>0</v>
      </c>
      <c r="H27" s="19">
        <v>10000</v>
      </c>
      <c r="I27" s="19">
        <v>66000</v>
      </c>
      <c r="J27" s="19">
        <v>0</v>
      </c>
      <c r="K27" s="19">
        <v>0</v>
      </c>
      <c r="L27" s="19">
        <v>247643.97899999999</v>
      </c>
      <c r="M27" s="178">
        <f t="shared" si="0"/>
        <v>328212.72899999999</v>
      </c>
    </row>
    <row r="28" spans="1:13" ht="15.95" customHeight="1" x14ac:dyDescent="0.2">
      <c r="A28" s="18" t="s">
        <v>109</v>
      </c>
      <c r="B28" s="168" t="s">
        <v>134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6039.375</v>
      </c>
      <c r="J28" s="19">
        <v>0</v>
      </c>
      <c r="K28" s="19">
        <v>0</v>
      </c>
      <c r="L28" s="19">
        <v>120779.382</v>
      </c>
      <c r="M28" s="178">
        <f t="shared" si="0"/>
        <v>126818.757</v>
      </c>
    </row>
    <row r="29" spans="1:13" ht="15.95" customHeight="1" x14ac:dyDescent="0.2">
      <c r="A29" s="18" t="s">
        <v>116</v>
      </c>
      <c r="B29" s="168" t="s">
        <v>134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9151.8150000000005</v>
      </c>
      <c r="M29" s="178">
        <f t="shared" si="0"/>
        <v>9151.8150000000005</v>
      </c>
    </row>
    <row r="30" spans="1:13" ht="15.95" customHeight="1" x14ac:dyDescent="0.2">
      <c r="A30" s="18" t="s">
        <v>117</v>
      </c>
      <c r="B30" s="168" t="s">
        <v>134</v>
      </c>
      <c r="C30" s="19">
        <v>18694.542000000001</v>
      </c>
      <c r="D30" s="19">
        <v>0</v>
      </c>
      <c r="E30" s="19">
        <v>47.658999999999999</v>
      </c>
      <c r="F30" s="19">
        <v>78226.528999999995</v>
      </c>
      <c r="G30" s="19">
        <v>143.29599999999999</v>
      </c>
      <c r="H30" s="19">
        <v>7102.3249999999998</v>
      </c>
      <c r="I30" s="19">
        <v>1364.1759999999999</v>
      </c>
      <c r="J30" s="19">
        <v>0</v>
      </c>
      <c r="K30" s="19">
        <v>32594.226999999999</v>
      </c>
      <c r="L30" s="19">
        <v>723826.58900000004</v>
      </c>
      <c r="M30" s="178">
        <f t="shared" si="0"/>
        <v>861999.34300000011</v>
      </c>
    </row>
    <row r="31" spans="1:13" ht="15.95" customHeight="1" x14ac:dyDescent="0.2">
      <c r="A31" s="18" t="s">
        <v>110</v>
      </c>
      <c r="B31" s="168" t="s">
        <v>134</v>
      </c>
      <c r="C31" s="19">
        <v>6986.7030000000004</v>
      </c>
      <c r="D31" s="19">
        <v>7984.5640900000008</v>
      </c>
      <c r="E31" s="19">
        <v>0</v>
      </c>
      <c r="F31" s="19">
        <v>0</v>
      </c>
      <c r="G31" s="19">
        <v>0</v>
      </c>
      <c r="H31" s="19">
        <v>0</v>
      </c>
      <c r="I31" s="19">
        <v>1274.5029999999999</v>
      </c>
      <c r="J31" s="19">
        <v>365</v>
      </c>
      <c r="K31" s="19">
        <v>67452.544999999998</v>
      </c>
      <c r="L31" s="19">
        <v>18499.059000000001</v>
      </c>
      <c r="M31" s="178">
        <f t="shared" si="0"/>
        <v>102562.37409</v>
      </c>
    </row>
    <row r="32" spans="1:13" ht="15.95" customHeight="1" x14ac:dyDescent="0.2">
      <c r="A32" s="18" t="s">
        <v>37</v>
      </c>
      <c r="B32" s="168" t="s">
        <v>134</v>
      </c>
      <c r="C32" s="19">
        <v>59681.567000000003</v>
      </c>
      <c r="D32" s="19">
        <v>2910.0067100000001</v>
      </c>
      <c r="E32" s="19">
        <v>0</v>
      </c>
      <c r="F32" s="19">
        <v>0</v>
      </c>
      <c r="G32" s="19">
        <v>0</v>
      </c>
      <c r="H32" s="19">
        <v>0</v>
      </c>
      <c r="I32" s="19">
        <v>4110.7860000000001</v>
      </c>
      <c r="J32" s="19">
        <v>0</v>
      </c>
      <c r="K32" s="19">
        <v>233608.78099999999</v>
      </c>
      <c r="L32" s="19">
        <v>178088.57500000001</v>
      </c>
      <c r="M32" s="178">
        <f t="shared" si="0"/>
        <v>478399.71571000002</v>
      </c>
    </row>
    <row r="33" spans="1:13" ht="15.95" customHeight="1" x14ac:dyDescent="0.2">
      <c r="A33" s="18" t="s">
        <v>40</v>
      </c>
      <c r="B33" s="168" t="s">
        <v>134</v>
      </c>
      <c r="C33" s="19">
        <v>32239.618999999999</v>
      </c>
      <c r="D33" s="19">
        <v>55260.489787966144</v>
      </c>
      <c r="E33" s="19">
        <v>0</v>
      </c>
      <c r="F33" s="19">
        <v>23130.256000000001</v>
      </c>
      <c r="G33" s="19">
        <v>2965.6469999999999</v>
      </c>
      <c r="H33" s="19">
        <v>64311.915000000001</v>
      </c>
      <c r="I33" s="19">
        <v>38680.517999999996</v>
      </c>
      <c r="J33" s="19">
        <v>3629.3820000000001</v>
      </c>
      <c r="K33" s="19">
        <v>66.3</v>
      </c>
      <c r="L33" s="19">
        <v>231240.18100000001</v>
      </c>
      <c r="M33" s="178">
        <f t="shared" si="0"/>
        <v>451524.30778796616</v>
      </c>
    </row>
    <row r="34" spans="1:13" ht="15.95" customHeight="1" x14ac:dyDescent="0.2">
      <c r="A34" s="18" t="s">
        <v>41</v>
      </c>
      <c r="B34" s="168" t="s">
        <v>41</v>
      </c>
      <c r="C34" s="19">
        <v>251.18799999999999</v>
      </c>
      <c r="D34" s="19">
        <v>206</v>
      </c>
      <c r="E34" s="19">
        <v>3215.4079999999999</v>
      </c>
      <c r="F34" s="19">
        <v>7406.9880000000003</v>
      </c>
      <c r="G34" s="19">
        <v>0</v>
      </c>
      <c r="H34" s="19">
        <v>0</v>
      </c>
      <c r="I34" s="19">
        <v>0</v>
      </c>
      <c r="J34" s="19">
        <v>255.54400000000001</v>
      </c>
      <c r="K34" s="19">
        <v>130581.43399999999</v>
      </c>
      <c r="L34" s="19">
        <v>92637</v>
      </c>
      <c r="M34" s="178">
        <f t="shared" si="0"/>
        <v>234553.56200000001</v>
      </c>
    </row>
    <row r="35" spans="1:13" ht="5.25" customHeight="1" x14ac:dyDescent="0.2">
      <c r="A35" s="20"/>
      <c r="B35" s="20"/>
      <c r="C35" s="20"/>
      <c r="D35" s="20"/>
      <c r="E35" s="20"/>
      <c r="F35" s="20"/>
      <c r="G35" s="166"/>
      <c r="H35" s="20"/>
      <c r="I35" s="20"/>
      <c r="J35" s="20"/>
      <c r="K35" s="20"/>
      <c r="L35" s="20"/>
      <c r="M35" s="20"/>
    </row>
    <row r="36" spans="1:13" ht="17.100000000000001" customHeight="1" x14ac:dyDescent="0.2">
      <c r="A36" s="21" t="s">
        <v>13</v>
      </c>
      <c r="B36" s="21"/>
      <c r="C36" s="22">
        <f t="shared" ref="C36:H36" si="1">SUM(C5:C34)</f>
        <v>10343566.312999999</v>
      </c>
      <c r="D36" s="22">
        <f t="shared" si="1"/>
        <v>1281751.5401226189</v>
      </c>
      <c r="E36" s="22">
        <f t="shared" si="1"/>
        <v>56106.084999999999</v>
      </c>
      <c r="F36" s="22">
        <f t="shared" si="1"/>
        <v>12227622.893999999</v>
      </c>
      <c r="G36" s="22">
        <f t="shared" si="1"/>
        <v>29496.895</v>
      </c>
      <c r="H36" s="22">
        <f t="shared" si="1"/>
        <v>4919953.2739999993</v>
      </c>
      <c r="I36" s="22">
        <f>SUM(I5:I34)</f>
        <v>1161197.4420000003</v>
      </c>
      <c r="J36" s="22">
        <f>SUM(J5:J34)</f>
        <v>55348.245000000003</v>
      </c>
      <c r="K36" s="22">
        <f>SUM(K5:K34)</f>
        <v>21244324.496999998</v>
      </c>
      <c r="L36" s="22">
        <f>SUM(L5:L34)</f>
        <v>54685676.598999992</v>
      </c>
      <c r="M36" s="22">
        <f>SUM(M5:M34)</f>
        <v>106005043.78412263</v>
      </c>
    </row>
    <row r="37" spans="1:13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">
      <c r="A38" s="23" t="s">
        <v>111</v>
      </c>
      <c r="B38" s="23"/>
      <c r="C38" s="23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x14ac:dyDescent="0.2">
      <c r="A39" s="23" t="s">
        <v>142</v>
      </c>
      <c r="B39" s="23"/>
      <c r="C39" s="23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x14ac:dyDescent="0.2">
      <c r="A40" s="27" t="s">
        <v>123</v>
      </c>
      <c r="B40" s="27"/>
      <c r="C40" s="27"/>
    </row>
    <row r="41" spans="1:13" x14ac:dyDescent="0.2">
      <c r="A41" s="28"/>
      <c r="B41" s="28"/>
      <c r="C41" s="28"/>
    </row>
  </sheetData>
  <mergeCells count="3">
    <mergeCell ref="A1:M1"/>
    <mergeCell ref="A2:M2"/>
    <mergeCell ref="A3:M3"/>
  </mergeCells>
  <pageMargins left="0.7" right="0.7" top="0.75" bottom="0.75" header="0.3" footer="0.3"/>
  <pageSetup scale="6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showGridLines="0" workbookViewId="0">
      <pane xSplit="1" ySplit="4" topLeftCell="B5" activePane="bottomRight" state="frozen"/>
      <selection activeCell="I1" sqref="I1"/>
      <selection pane="topRight" activeCell="I1" sqref="I1"/>
      <selection pane="bottomLeft" activeCell="I1" sqref="I1"/>
      <selection pane="bottomRight" activeCell="B3" sqref="B1:B1048576"/>
    </sheetView>
  </sheetViews>
  <sheetFormatPr defaultRowHeight="12.75" x14ac:dyDescent="0.2"/>
  <cols>
    <col min="1" max="1" width="32.7109375" style="59" customWidth="1"/>
    <col min="2" max="2" width="24.42578125" style="59" hidden="1" customWidth="1"/>
    <col min="3" max="3" width="17.42578125" style="69" customWidth="1"/>
    <col min="4" max="4" width="13" style="69" customWidth="1"/>
    <col min="5" max="6" width="12.140625" style="69" customWidth="1"/>
    <col min="7" max="8" width="12.5703125" style="69" customWidth="1"/>
    <col min="9" max="9" width="12.5703125" style="70" customWidth="1"/>
    <col min="10" max="10" width="16" style="70" customWidth="1"/>
    <col min="11" max="12" width="12.5703125" style="69" customWidth="1"/>
    <col min="13" max="13" width="13.5703125" style="69" customWidth="1"/>
    <col min="14" max="253" width="9.140625" style="13"/>
    <col min="254" max="254" width="33.85546875" style="13" customWidth="1"/>
    <col min="255" max="255" width="12.5703125" style="13" customWidth="1"/>
    <col min="256" max="256" width="12.42578125" style="13" customWidth="1"/>
    <col min="257" max="257" width="0" style="13" hidden="1" customWidth="1"/>
    <col min="258" max="263" width="12.5703125" style="13" customWidth="1"/>
    <col min="264" max="264" width="0" style="13" hidden="1" customWidth="1"/>
    <col min="265" max="265" width="12.5703125" style="13" customWidth="1"/>
    <col min="266" max="266" width="12.42578125" style="13" customWidth="1"/>
    <col min="267" max="267" width="0" style="13" hidden="1" customWidth="1"/>
    <col min="268" max="268" width="13.5703125" style="13" customWidth="1"/>
    <col min="269" max="509" width="9.140625" style="13"/>
    <col min="510" max="510" width="33.85546875" style="13" customWidth="1"/>
    <col min="511" max="511" width="12.5703125" style="13" customWidth="1"/>
    <col min="512" max="512" width="12.42578125" style="13" customWidth="1"/>
    <col min="513" max="513" width="0" style="13" hidden="1" customWidth="1"/>
    <col min="514" max="519" width="12.5703125" style="13" customWidth="1"/>
    <col min="520" max="520" width="0" style="13" hidden="1" customWidth="1"/>
    <col min="521" max="521" width="12.5703125" style="13" customWidth="1"/>
    <col min="522" max="522" width="12.42578125" style="13" customWidth="1"/>
    <col min="523" max="523" width="0" style="13" hidden="1" customWidth="1"/>
    <col min="524" max="524" width="13.5703125" style="13" customWidth="1"/>
    <col min="525" max="765" width="9.140625" style="13"/>
    <col min="766" max="766" width="33.85546875" style="13" customWidth="1"/>
    <col min="767" max="767" width="12.5703125" style="13" customWidth="1"/>
    <col min="768" max="768" width="12.42578125" style="13" customWidth="1"/>
    <col min="769" max="769" width="0" style="13" hidden="1" customWidth="1"/>
    <col min="770" max="775" width="12.5703125" style="13" customWidth="1"/>
    <col min="776" max="776" width="0" style="13" hidden="1" customWidth="1"/>
    <col min="777" max="777" width="12.5703125" style="13" customWidth="1"/>
    <col min="778" max="778" width="12.42578125" style="13" customWidth="1"/>
    <col min="779" max="779" width="0" style="13" hidden="1" customWidth="1"/>
    <col min="780" max="780" width="13.5703125" style="13" customWidth="1"/>
    <col min="781" max="1021" width="9.140625" style="13"/>
    <col min="1022" max="1022" width="33.85546875" style="13" customWidth="1"/>
    <col min="1023" max="1023" width="12.5703125" style="13" customWidth="1"/>
    <col min="1024" max="1024" width="12.42578125" style="13" customWidth="1"/>
    <col min="1025" max="1025" width="0" style="13" hidden="1" customWidth="1"/>
    <col min="1026" max="1031" width="12.5703125" style="13" customWidth="1"/>
    <col min="1032" max="1032" width="0" style="13" hidden="1" customWidth="1"/>
    <col min="1033" max="1033" width="12.5703125" style="13" customWidth="1"/>
    <col min="1034" max="1034" width="12.42578125" style="13" customWidth="1"/>
    <col min="1035" max="1035" width="0" style="13" hidden="1" customWidth="1"/>
    <col min="1036" max="1036" width="13.5703125" style="13" customWidth="1"/>
    <col min="1037" max="1277" width="9.140625" style="13"/>
    <col min="1278" max="1278" width="33.85546875" style="13" customWidth="1"/>
    <col min="1279" max="1279" width="12.5703125" style="13" customWidth="1"/>
    <col min="1280" max="1280" width="12.42578125" style="13" customWidth="1"/>
    <col min="1281" max="1281" width="0" style="13" hidden="1" customWidth="1"/>
    <col min="1282" max="1287" width="12.5703125" style="13" customWidth="1"/>
    <col min="1288" max="1288" width="0" style="13" hidden="1" customWidth="1"/>
    <col min="1289" max="1289" width="12.5703125" style="13" customWidth="1"/>
    <col min="1290" max="1290" width="12.42578125" style="13" customWidth="1"/>
    <col min="1291" max="1291" width="0" style="13" hidden="1" customWidth="1"/>
    <col min="1292" max="1292" width="13.5703125" style="13" customWidth="1"/>
    <col min="1293" max="1533" width="9.140625" style="13"/>
    <col min="1534" max="1534" width="33.85546875" style="13" customWidth="1"/>
    <col min="1535" max="1535" width="12.5703125" style="13" customWidth="1"/>
    <col min="1536" max="1536" width="12.42578125" style="13" customWidth="1"/>
    <col min="1537" max="1537" width="0" style="13" hidden="1" customWidth="1"/>
    <col min="1538" max="1543" width="12.5703125" style="13" customWidth="1"/>
    <col min="1544" max="1544" width="0" style="13" hidden="1" customWidth="1"/>
    <col min="1545" max="1545" width="12.5703125" style="13" customWidth="1"/>
    <col min="1546" max="1546" width="12.42578125" style="13" customWidth="1"/>
    <col min="1547" max="1547" width="0" style="13" hidden="1" customWidth="1"/>
    <col min="1548" max="1548" width="13.5703125" style="13" customWidth="1"/>
    <col min="1549" max="1789" width="9.140625" style="13"/>
    <col min="1790" max="1790" width="33.85546875" style="13" customWidth="1"/>
    <col min="1791" max="1791" width="12.5703125" style="13" customWidth="1"/>
    <col min="1792" max="1792" width="12.42578125" style="13" customWidth="1"/>
    <col min="1793" max="1793" width="0" style="13" hidden="1" customWidth="1"/>
    <col min="1794" max="1799" width="12.5703125" style="13" customWidth="1"/>
    <col min="1800" max="1800" width="0" style="13" hidden="1" customWidth="1"/>
    <col min="1801" max="1801" width="12.5703125" style="13" customWidth="1"/>
    <col min="1802" max="1802" width="12.42578125" style="13" customWidth="1"/>
    <col min="1803" max="1803" width="0" style="13" hidden="1" customWidth="1"/>
    <col min="1804" max="1804" width="13.5703125" style="13" customWidth="1"/>
    <col min="1805" max="2045" width="9.140625" style="13"/>
    <col min="2046" max="2046" width="33.85546875" style="13" customWidth="1"/>
    <col min="2047" max="2047" width="12.5703125" style="13" customWidth="1"/>
    <col min="2048" max="2048" width="12.42578125" style="13" customWidth="1"/>
    <col min="2049" max="2049" width="0" style="13" hidden="1" customWidth="1"/>
    <col min="2050" max="2055" width="12.5703125" style="13" customWidth="1"/>
    <col min="2056" max="2056" width="0" style="13" hidden="1" customWidth="1"/>
    <col min="2057" max="2057" width="12.5703125" style="13" customWidth="1"/>
    <col min="2058" max="2058" width="12.42578125" style="13" customWidth="1"/>
    <col min="2059" max="2059" width="0" style="13" hidden="1" customWidth="1"/>
    <col min="2060" max="2060" width="13.5703125" style="13" customWidth="1"/>
    <col min="2061" max="2301" width="9.140625" style="13"/>
    <col min="2302" max="2302" width="33.85546875" style="13" customWidth="1"/>
    <col min="2303" max="2303" width="12.5703125" style="13" customWidth="1"/>
    <col min="2304" max="2304" width="12.42578125" style="13" customWidth="1"/>
    <col min="2305" max="2305" width="0" style="13" hidden="1" customWidth="1"/>
    <col min="2306" max="2311" width="12.5703125" style="13" customWidth="1"/>
    <col min="2312" max="2312" width="0" style="13" hidden="1" customWidth="1"/>
    <col min="2313" max="2313" width="12.5703125" style="13" customWidth="1"/>
    <col min="2314" max="2314" width="12.42578125" style="13" customWidth="1"/>
    <col min="2315" max="2315" width="0" style="13" hidden="1" customWidth="1"/>
    <col min="2316" max="2316" width="13.5703125" style="13" customWidth="1"/>
    <col min="2317" max="2557" width="9.140625" style="13"/>
    <col min="2558" max="2558" width="33.85546875" style="13" customWidth="1"/>
    <col min="2559" max="2559" width="12.5703125" style="13" customWidth="1"/>
    <col min="2560" max="2560" width="12.42578125" style="13" customWidth="1"/>
    <col min="2561" max="2561" width="0" style="13" hidden="1" customWidth="1"/>
    <col min="2562" max="2567" width="12.5703125" style="13" customWidth="1"/>
    <col min="2568" max="2568" width="0" style="13" hidden="1" customWidth="1"/>
    <col min="2569" max="2569" width="12.5703125" style="13" customWidth="1"/>
    <col min="2570" max="2570" width="12.42578125" style="13" customWidth="1"/>
    <col min="2571" max="2571" width="0" style="13" hidden="1" customWidth="1"/>
    <col min="2572" max="2572" width="13.5703125" style="13" customWidth="1"/>
    <col min="2573" max="2813" width="9.140625" style="13"/>
    <col min="2814" max="2814" width="33.85546875" style="13" customWidth="1"/>
    <col min="2815" max="2815" width="12.5703125" style="13" customWidth="1"/>
    <col min="2816" max="2816" width="12.42578125" style="13" customWidth="1"/>
    <col min="2817" max="2817" width="0" style="13" hidden="1" customWidth="1"/>
    <col min="2818" max="2823" width="12.5703125" style="13" customWidth="1"/>
    <col min="2824" max="2824" width="0" style="13" hidden="1" customWidth="1"/>
    <col min="2825" max="2825" width="12.5703125" style="13" customWidth="1"/>
    <col min="2826" max="2826" width="12.42578125" style="13" customWidth="1"/>
    <col min="2827" max="2827" width="0" style="13" hidden="1" customWidth="1"/>
    <col min="2828" max="2828" width="13.5703125" style="13" customWidth="1"/>
    <col min="2829" max="3069" width="9.140625" style="13"/>
    <col min="3070" max="3070" width="33.85546875" style="13" customWidth="1"/>
    <col min="3071" max="3071" width="12.5703125" style="13" customWidth="1"/>
    <col min="3072" max="3072" width="12.42578125" style="13" customWidth="1"/>
    <col min="3073" max="3073" width="0" style="13" hidden="1" customWidth="1"/>
    <col min="3074" max="3079" width="12.5703125" style="13" customWidth="1"/>
    <col min="3080" max="3080" width="0" style="13" hidden="1" customWidth="1"/>
    <col min="3081" max="3081" width="12.5703125" style="13" customWidth="1"/>
    <col min="3082" max="3082" width="12.42578125" style="13" customWidth="1"/>
    <col min="3083" max="3083" width="0" style="13" hidden="1" customWidth="1"/>
    <col min="3084" max="3084" width="13.5703125" style="13" customWidth="1"/>
    <col min="3085" max="3325" width="9.140625" style="13"/>
    <col min="3326" max="3326" width="33.85546875" style="13" customWidth="1"/>
    <col min="3327" max="3327" width="12.5703125" style="13" customWidth="1"/>
    <col min="3328" max="3328" width="12.42578125" style="13" customWidth="1"/>
    <col min="3329" max="3329" width="0" style="13" hidden="1" customWidth="1"/>
    <col min="3330" max="3335" width="12.5703125" style="13" customWidth="1"/>
    <col min="3336" max="3336" width="0" style="13" hidden="1" customWidth="1"/>
    <col min="3337" max="3337" width="12.5703125" style="13" customWidth="1"/>
    <col min="3338" max="3338" width="12.42578125" style="13" customWidth="1"/>
    <col min="3339" max="3339" width="0" style="13" hidden="1" customWidth="1"/>
    <col min="3340" max="3340" width="13.5703125" style="13" customWidth="1"/>
    <col min="3341" max="3581" width="9.140625" style="13"/>
    <col min="3582" max="3582" width="33.85546875" style="13" customWidth="1"/>
    <col min="3583" max="3583" width="12.5703125" style="13" customWidth="1"/>
    <col min="3584" max="3584" width="12.42578125" style="13" customWidth="1"/>
    <col min="3585" max="3585" width="0" style="13" hidden="1" customWidth="1"/>
    <col min="3586" max="3591" width="12.5703125" style="13" customWidth="1"/>
    <col min="3592" max="3592" width="0" style="13" hidden="1" customWidth="1"/>
    <col min="3593" max="3593" width="12.5703125" style="13" customWidth="1"/>
    <col min="3594" max="3594" width="12.42578125" style="13" customWidth="1"/>
    <col min="3595" max="3595" width="0" style="13" hidden="1" customWidth="1"/>
    <col min="3596" max="3596" width="13.5703125" style="13" customWidth="1"/>
    <col min="3597" max="3837" width="9.140625" style="13"/>
    <col min="3838" max="3838" width="33.85546875" style="13" customWidth="1"/>
    <col min="3839" max="3839" width="12.5703125" style="13" customWidth="1"/>
    <col min="3840" max="3840" width="12.42578125" style="13" customWidth="1"/>
    <col min="3841" max="3841" width="0" style="13" hidden="1" customWidth="1"/>
    <col min="3842" max="3847" width="12.5703125" style="13" customWidth="1"/>
    <col min="3848" max="3848" width="0" style="13" hidden="1" customWidth="1"/>
    <col min="3849" max="3849" width="12.5703125" style="13" customWidth="1"/>
    <col min="3850" max="3850" width="12.42578125" style="13" customWidth="1"/>
    <col min="3851" max="3851" width="0" style="13" hidden="1" customWidth="1"/>
    <col min="3852" max="3852" width="13.5703125" style="13" customWidth="1"/>
    <col min="3853" max="4093" width="9.140625" style="13"/>
    <col min="4094" max="4094" width="33.85546875" style="13" customWidth="1"/>
    <col min="4095" max="4095" width="12.5703125" style="13" customWidth="1"/>
    <col min="4096" max="4096" width="12.42578125" style="13" customWidth="1"/>
    <col min="4097" max="4097" width="0" style="13" hidden="1" customWidth="1"/>
    <col min="4098" max="4103" width="12.5703125" style="13" customWidth="1"/>
    <col min="4104" max="4104" width="0" style="13" hidden="1" customWidth="1"/>
    <col min="4105" max="4105" width="12.5703125" style="13" customWidth="1"/>
    <col min="4106" max="4106" width="12.42578125" style="13" customWidth="1"/>
    <col min="4107" max="4107" width="0" style="13" hidden="1" customWidth="1"/>
    <col min="4108" max="4108" width="13.5703125" style="13" customWidth="1"/>
    <col min="4109" max="4349" width="9.140625" style="13"/>
    <col min="4350" max="4350" width="33.85546875" style="13" customWidth="1"/>
    <col min="4351" max="4351" width="12.5703125" style="13" customWidth="1"/>
    <col min="4352" max="4352" width="12.42578125" style="13" customWidth="1"/>
    <col min="4353" max="4353" width="0" style="13" hidden="1" customWidth="1"/>
    <col min="4354" max="4359" width="12.5703125" style="13" customWidth="1"/>
    <col min="4360" max="4360" width="0" style="13" hidden="1" customWidth="1"/>
    <col min="4361" max="4361" width="12.5703125" style="13" customWidth="1"/>
    <col min="4362" max="4362" width="12.42578125" style="13" customWidth="1"/>
    <col min="4363" max="4363" width="0" style="13" hidden="1" customWidth="1"/>
    <col min="4364" max="4364" width="13.5703125" style="13" customWidth="1"/>
    <col min="4365" max="4605" width="9.140625" style="13"/>
    <col min="4606" max="4606" width="33.85546875" style="13" customWidth="1"/>
    <col min="4607" max="4607" width="12.5703125" style="13" customWidth="1"/>
    <col min="4608" max="4608" width="12.42578125" style="13" customWidth="1"/>
    <col min="4609" max="4609" width="0" style="13" hidden="1" customWidth="1"/>
    <col min="4610" max="4615" width="12.5703125" style="13" customWidth="1"/>
    <col min="4616" max="4616" width="0" style="13" hidden="1" customWidth="1"/>
    <col min="4617" max="4617" width="12.5703125" style="13" customWidth="1"/>
    <col min="4618" max="4618" width="12.42578125" style="13" customWidth="1"/>
    <col min="4619" max="4619" width="0" style="13" hidden="1" customWidth="1"/>
    <col min="4620" max="4620" width="13.5703125" style="13" customWidth="1"/>
    <col min="4621" max="4861" width="9.140625" style="13"/>
    <col min="4862" max="4862" width="33.85546875" style="13" customWidth="1"/>
    <col min="4863" max="4863" width="12.5703125" style="13" customWidth="1"/>
    <col min="4864" max="4864" width="12.42578125" style="13" customWidth="1"/>
    <col min="4865" max="4865" width="0" style="13" hidden="1" customWidth="1"/>
    <col min="4866" max="4871" width="12.5703125" style="13" customWidth="1"/>
    <col min="4872" max="4872" width="0" style="13" hidden="1" customWidth="1"/>
    <col min="4873" max="4873" width="12.5703125" style="13" customWidth="1"/>
    <col min="4874" max="4874" width="12.42578125" style="13" customWidth="1"/>
    <col min="4875" max="4875" width="0" style="13" hidden="1" customWidth="1"/>
    <col min="4876" max="4876" width="13.5703125" style="13" customWidth="1"/>
    <col min="4877" max="5117" width="9.140625" style="13"/>
    <col min="5118" max="5118" width="33.85546875" style="13" customWidth="1"/>
    <col min="5119" max="5119" width="12.5703125" style="13" customWidth="1"/>
    <col min="5120" max="5120" width="12.42578125" style="13" customWidth="1"/>
    <col min="5121" max="5121" width="0" style="13" hidden="1" customWidth="1"/>
    <col min="5122" max="5127" width="12.5703125" style="13" customWidth="1"/>
    <col min="5128" max="5128" width="0" style="13" hidden="1" customWidth="1"/>
    <col min="5129" max="5129" width="12.5703125" style="13" customWidth="1"/>
    <col min="5130" max="5130" width="12.42578125" style="13" customWidth="1"/>
    <col min="5131" max="5131" width="0" style="13" hidden="1" customWidth="1"/>
    <col min="5132" max="5132" width="13.5703125" style="13" customWidth="1"/>
    <col min="5133" max="5373" width="9.140625" style="13"/>
    <col min="5374" max="5374" width="33.85546875" style="13" customWidth="1"/>
    <col min="5375" max="5375" width="12.5703125" style="13" customWidth="1"/>
    <col min="5376" max="5376" width="12.42578125" style="13" customWidth="1"/>
    <col min="5377" max="5377" width="0" style="13" hidden="1" customWidth="1"/>
    <col min="5378" max="5383" width="12.5703125" style="13" customWidth="1"/>
    <col min="5384" max="5384" width="0" style="13" hidden="1" customWidth="1"/>
    <col min="5385" max="5385" width="12.5703125" style="13" customWidth="1"/>
    <col min="5386" max="5386" width="12.42578125" style="13" customWidth="1"/>
    <col min="5387" max="5387" width="0" style="13" hidden="1" customWidth="1"/>
    <col min="5388" max="5388" width="13.5703125" style="13" customWidth="1"/>
    <col min="5389" max="5629" width="9.140625" style="13"/>
    <col min="5630" max="5630" width="33.85546875" style="13" customWidth="1"/>
    <col min="5631" max="5631" width="12.5703125" style="13" customWidth="1"/>
    <col min="5632" max="5632" width="12.42578125" style="13" customWidth="1"/>
    <col min="5633" max="5633" width="0" style="13" hidden="1" customWidth="1"/>
    <col min="5634" max="5639" width="12.5703125" style="13" customWidth="1"/>
    <col min="5640" max="5640" width="0" style="13" hidden="1" customWidth="1"/>
    <col min="5641" max="5641" width="12.5703125" style="13" customWidth="1"/>
    <col min="5642" max="5642" width="12.42578125" style="13" customWidth="1"/>
    <col min="5643" max="5643" width="0" style="13" hidden="1" customWidth="1"/>
    <col min="5644" max="5644" width="13.5703125" style="13" customWidth="1"/>
    <col min="5645" max="5885" width="9.140625" style="13"/>
    <col min="5886" max="5886" width="33.85546875" style="13" customWidth="1"/>
    <col min="5887" max="5887" width="12.5703125" style="13" customWidth="1"/>
    <col min="5888" max="5888" width="12.42578125" style="13" customWidth="1"/>
    <col min="5889" max="5889" width="0" style="13" hidden="1" customWidth="1"/>
    <col min="5890" max="5895" width="12.5703125" style="13" customWidth="1"/>
    <col min="5896" max="5896" width="0" style="13" hidden="1" customWidth="1"/>
    <col min="5897" max="5897" width="12.5703125" style="13" customWidth="1"/>
    <col min="5898" max="5898" width="12.42578125" style="13" customWidth="1"/>
    <col min="5899" max="5899" width="0" style="13" hidden="1" customWidth="1"/>
    <col min="5900" max="5900" width="13.5703125" style="13" customWidth="1"/>
    <col min="5901" max="6141" width="9.140625" style="13"/>
    <col min="6142" max="6142" width="33.85546875" style="13" customWidth="1"/>
    <col min="6143" max="6143" width="12.5703125" style="13" customWidth="1"/>
    <col min="6144" max="6144" width="12.42578125" style="13" customWidth="1"/>
    <col min="6145" max="6145" width="0" style="13" hidden="1" customWidth="1"/>
    <col min="6146" max="6151" width="12.5703125" style="13" customWidth="1"/>
    <col min="6152" max="6152" width="0" style="13" hidden="1" customWidth="1"/>
    <col min="6153" max="6153" width="12.5703125" style="13" customWidth="1"/>
    <col min="6154" max="6154" width="12.42578125" style="13" customWidth="1"/>
    <col min="6155" max="6155" width="0" style="13" hidden="1" customWidth="1"/>
    <col min="6156" max="6156" width="13.5703125" style="13" customWidth="1"/>
    <col min="6157" max="6397" width="9.140625" style="13"/>
    <col min="6398" max="6398" width="33.85546875" style="13" customWidth="1"/>
    <col min="6399" max="6399" width="12.5703125" style="13" customWidth="1"/>
    <col min="6400" max="6400" width="12.42578125" style="13" customWidth="1"/>
    <col min="6401" max="6401" width="0" style="13" hidden="1" customWidth="1"/>
    <col min="6402" max="6407" width="12.5703125" style="13" customWidth="1"/>
    <col min="6408" max="6408" width="0" style="13" hidden="1" customWidth="1"/>
    <col min="6409" max="6409" width="12.5703125" style="13" customWidth="1"/>
    <col min="6410" max="6410" width="12.42578125" style="13" customWidth="1"/>
    <col min="6411" max="6411" width="0" style="13" hidden="1" customWidth="1"/>
    <col min="6412" max="6412" width="13.5703125" style="13" customWidth="1"/>
    <col min="6413" max="6653" width="9.140625" style="13"/>
    <col min="6654" max="6654" width="33.85546875" style="13" customWidth="1"/>
    <col min="6655" max="6655" width="12.5703125" style="13" customWidth="1"/>
    <col min="6656" max="6656" width="12.42578125" style="13" customWidth="1"/>
    <col min="6657" max="6657" width="0" style="13" hidden="1" customWidth="1"/>
    <col min="6658" max="6663" width="12.5703125" style="13" customWidth="1"/>
    <col min="6664" max="6664" width="0" style="13" hidden="1" customWidth="1"/>
    <col min="6665" max="6665" width="12.5703125" style="13" customWidth="1"/>
    <col min="6666" max="6666" width="12.42578125" style="13" customWidth="1"/>
    <col min="6667" max="6667" width="0" style="13" hidden="1" customWidth="1"/>
    <col min="6668" max="6668" width="13.5703125" style="13" customWidth="1"/>
    <col min="6669" max="6909" width="9.140625" style="13"/>
    <col min="6910" max="6910" width="33.85546875" style="13" customWidth="1"/>
    <col min="6911" max="6911" width="12.5703125" style="13" customWidth="1"/>
    <col min="6912" max="6912" width="12.42578125" style="13" customWidth="1"/>
    <col min="6913" max="6913" width="0" style="13" hidden="1" customWidth="1"/>
    <col min="6914" max="6919" width="12.5703125" style="13" customWidth="1"/>
    <col min="6920" max="6920" width="0" style="13" hidden="1" customWidth="1"/>
    <col min="6921" max="6921" width="12.5703125" style="13" customWidth="1"/>
    <col min="6922" max="6922" width="12.42578125" style="13" customWidth="1"/>
    <col min="6923" max="6923" width="0" style="13" hidden="1" customWidth="1"/>
    <col min="6924" max="6924" width="13.5703125" style="13" customWidth="1"/>
    <col min="6925" max="7165" width="9.140625" style="13"/>
    <col min="7166" max="7166" width="33.85546875" style="13" customWidth="1"/>
    <col min="7167" max="7167" width="12.5703125" style="13" customWidth="1"/>
    <col min="7168" max="7168" width="12.42578125" style="13" customWidth="1"/>
    <col min="7169" max="7169" width="0" style="13" hidden="1" customWidth="1"/>
    <col min="7170" max="7175" width="12.5703125" style="13" customWidth="1"/>
    <col min="7176" max="7176" width="0" style="13" hidden="1" customWidth="1"/>
    <col min="7177" max="7177" width="12.5703125" style="13" customWidth="1"/>
    <col min="7178" max="7178" width="12.42578125" style="13" customWidth="1"/>
    <col min="7179" max="7179" width="0" style="13" hidden="1" customWidth="1"/>
    <col min="7180" max="7180" width="13.5703125" style="13" customWidth="1"/>
    <col min="7181" max="7421" width="9.140625" style="13"/>
    <col min="7422" max="7422" width="33.85546875" style="13" customWidth="1"/>
    <col min="7423" max="7423" width="12.5703125" style="13" customWidth="1"/>
    <col min="7424" max="7424" width="12.42578125" style="13" customWidth="1"/>
    <col min="7425" max="7425" width="0" style="13" hidden="1" customWidth="1"/>
    <col min="7426" max="7431" width="12.5703125" style="13" customWidth="1"/>
    <col min="7432" max="7432" width="0" style="13" hidden="1" customWidth="1"/>
    <col min="7433" max="7433" width="12.5703125" style="13" customWidth="1"/>
    <col min="7434" max="7434" width="12.42578125" style="13" customWidth="1"/>
    <col min="7435" max="7435" width="0" style="13" hidden="1" customWidth="1"/>
    <col min="7436" max="7436" width="13.5703125" style="13" customWidth="1"/>
    <col min="7437" max="7677" width="9.140625" style="13"/>
    <col min="7678" max="7678" width="33.85546875" style="13" customWidth="1"/>
    <col min="7679" max="7679" width="12.5703125" style="13" customWidth="1"/>
    <col min="7680" max="7680" width="12.42578125" style="13" customWidth="1"/>
    <col min="7681" max="7681" width="0" style="13" hidden="1" customWidth="1"/>
    <col min="7682" max="7687" width="12.5703125" style="13" customWidth="1"/>
    <col min="7688" max="7688" width="0" style="13" hidden="1" customWidth="1"/>
    <col min="7689" max="7689" width="12.5703125" style="13" customWidth="1"/>
    <col min="7690" max="7690" width="12.42578125" style="13" customWidth="1"/>
    <col min="7691" max="7691" width="0" style="13" hidden="1" customWidth="1"/>
    <col min="7692" max="7692" width="13.5703125" style="13" customWidth="1"/>
    <col min="7693" max="7933" width="9.140625" style="13"/>
    <col min="7934" max="7934" width="33.85546875" style="13" customWidth="1"/>
    <col min="7935" max="7935" width="12.5703125" style="13" customWidth="1"/>
    <col min="7936" max="7936" width="12.42578125" style="13" customWidth="1"/>
    <col min="7937" max="7937" width="0" style="13" hidden="1" customWidth="1"/>
    <col min="7938" max="7943" width="12.5703125" style="13" customWidth="1"/>
    <col min="7944" max="7944" width="0" style="13" hidden="1" customWidth="1"/>
    <col min="7945" max="7945" width="12.5703125" style="13" customWidth="1"/>
    <col min="7946" max="7946" width="12.42578125" style="13" customWidth="1"/>
    <col min="7947" max="7947" width="0" style="13" hidden="1" customWidth="1"/>
    <col min="7948" max="7948" width="13.5703125" style="13" customWidth="1"/>
    <col min="7949" max="8189" width="9.140625" style="13"/>
    <col min="8190" max="8190" width="33.85546875" style="13" customWidth="1"/>
    <col min="8191" max="8191" width="12.5703125" style="13" customWidth="1"/>
    <col min="8192" max="8192" width="12.42578125" style="13" customWidth="1"/>
    <col min="8193" max="8193" width="0" style="13" hidden="1" customWidth="1"/>
    <col min="8194" max="8199" width="12.5703125" style="13" customWidth="1"/>
    <col min="8200" max="8200" width="0" style="13" hidden="1" customWidth="1"/>
    <col min="8201" max="8201" width="12.5703125" style="13" customWidth="1"/>
    <col min="8202" max="8202" width="12.42578125" style="13" customWidth="1"/>
    <col min="8203" max="8203" width="0" style="13" hidden="1" customWidth="1"/>
    <col min="8204" max="8204" width="13.5703125" style="13" customWidth="1"/>
    <col min="8205" max="8445" width="9.140625" style="13"/>
    <col min="8446" max="8446" width="33.85546875" style="13" customWidth="1"/>
    <col min="8447" max="8447" width="12.5703125" style="13" customWidth="1"/>
    <col min="8448" max="8448" width="12.42578125" style="13" customWidth="1"/>
    <col min="8449" max="8449" width="0" style="13" hidden="1" customWidth="1"/>
    <col min="8450" max="8455" width="12.5703125" style="13" customWidth="1"/>
    <col min="8456" max="8456" width="0" style="13" hidden="1" customWidth="1"/>
    <col min="8457" max="8457" width="12.5703125" style="13" customWidth="1"/>
    <col min="8458" max="8458" width="12.42578125" style="13" customWidth="1"/>
    <col min="8459" max="8459" width="0" style="13" hidden="1" customWidth="1"/>
    <col min="8460" max="8460" width="13.5703125" style="13" customWidth="1"/>
    <col min="8461" max="8701" width="9.140625" style="13"/>
    <col min="8702" max="8702" width="33.85546875" style="13" customWidth="1"/>
    <col min="8703" max="8703" width="12.5703125" style="13" customWidth="1"/>
    <col min="8704" max="8704" width="12.42578125" style="13" customWidth="1"/>
    <col min="8705" max="8705" width="0" style="13" hidden="1" customWidth="1"/>
    <col min="8706" max="8711" width="12.5703125" style="13" customWidth="1"/>
    <col min="8712" max="8712" width="0" style="13" hidden="1" customWidth="1"/>
    <col min="8713" max="8713" width="12.5703125" style="13" customWidth="1"/>
    <col min="8714" max="8714" width="12.42578125" style="13" customWidth="1"/>
    <col min="8715" max="8715" width="0" style="13" hidden="1" customWidth="1"/>
    <col min="8716" max="8716" width="13.5703125" style="13" customWidth="1"/>
    <col min="8717" max="8957" width="9.140625" style="13"/>
    <col min="8958" max="8958" width="33.85546875" style="13" customWidth="1"/>
    <col min="8959" max="8959" width="12.5703125" style="13" customWidth="1"/>
    <col min="8960" max="8960" width="12.42578125" style="13" customWidth="1"/>
    <col min="8961" max="8961" width="0" style="13" hidden="1" customWidth="1"/>
    <col min="8962" max="8967" width="12.5703125" style="13" customWidth="1"/>
    <col min="8968" max="8968" width="0" style="13" hidden="1" customWidth="1"/>
    <col min="8969" max="8969" width="12.5703125" style="13" customWidth="1"/>
    <col min="8970" max="8970" width="12.42578125" style="13" customWidth="1"/>
    <col min="8971" max="8971" width="0" style="13" hidden="1" customWidth="1"/>
    <col min="8972" max="8972" width="13.5703125" style="13" customWidth="1"/>
    <col min="8973" max="9213" width="9.140625" style="13"/>
    <col min="9214" max="9214" width="33.85546875" style="13" customWidth="1"/>
    <col min="9215" max="9215" width="12.5703125" style="13" customWidth="1"/>
    <col min="9216" max="9216" width="12.42578125" style="13" customWidth="1"/>
    <col min="9217" max="9217" width="0" style="13" hidden="1" customWidth="1"/>
    <col min="9218" max="9223" width="12.5703125" style="13" customWidth="1"/>
    <col min="9224" max="9224" width="0" style="13" hidden="1" customWidth="1"/>
    <col min="9225" max="9225" width="12.5703125" style="13" customWidth="1"/>
    <col min="9226" max="9226" width="12.42578125" style="13" customWidth="1"/>
    <col min="9227" max="9227" width="0" style="13" hidden="1" customWidth="1"/>
    <col min="9228" max="9228" width="13.5703125" style="13" customWidth="1"/>
    <col min="9229" max="9469" width="9.140625" style="13"/>
    <col min="9470" max="9470" width="33.85546875" style="13" customWidth="1"/>
    <col min="9471" max="9471" width="12.5703125" style="13" customWidth="1"/>
    <col min="9472" max="9472" width="12.42578125" style="13" customWidth="1"/>
    <col min="9473" max="9473" width="0" style="13" hidden="1" customWidth="1"/>
    <col min="9474" max="9479" width="12.5703125" style="13" customWidth="1"/>
    <col min="9480" max="9480" width="0" style="13" hidden="1" customWidth="1"/>
    <col min="9481" max="9481" width="12.5703125" style="13" customWidth="1"/>
    <col min="9482" max="9482" width="12.42578125" style="13" customWidth="1"/>
    <col min="9483" max="9483" width="0" style="13" hidden="1" customWidth="1"/>
    <col min="9484" max="9484" width="13.5703125" style="13" customWidth="1"/>
    <col min="9485" max="9725" width="9.140625" style="13"/>
    <col min="9726" max="9726" width="33.85546875" style="13" customWidth="1"/>
    <col min="9727" max="9727" width="12.5703125" style="13" customWidth="1"/>
    <col min="9728" max="9728" width="12.42578125" style="13" customWidth="1"/>
    <col min="9729" max="9729" width="0" style="13" hidden="1" customWidth="1"/>
    <col min="9730" max="9735" width="12.5703125" style="13" customWidth="1"/>
    <col min="9736" max="9736" width="0" style="13" hidden="1" customWidth="1"/>
    <col min="9737" max="9737" width="12.5703125" style="13" customWidth="1"/>
    <col min="9738" max="9738" width="12.42578125" style="13" customWidth="1"/>
    <col min="9739" max="9739" width="0" style="13" hidden="1" customWidth="1"/>
    <col min="9740" max="9740" width="13.5703125" style="13" customWidth="1"/>
    <col min="9741" max="9981" width="9.140625" style="13"/>
    <col min="9982" max="9982" width="33.85546875" style="13" customWidth="1"/>
    <col min="9983" max="9983" width="12.5703125" style="13" customWidth="1"/>
    <col min="9984" max="9984" width="12.42578125" style="13" customWidth="1"/>
    <col min="9985" max="9985" width="0" style="13" hidden="1" customWidth="1"/>
    <col min="9986" max="9991" width="12.5703125" style="13" customWidth="1"/>
    <col min="9992" max="9992" width="0" style="13" hidden="1" customWidth="1"/>
    <col min="9993" max="9993" width="12.5703125" style="13" customWidth="1"/>
    <col min="9994" max="9994" width="12.42578125" style="13" customWidth="1"/>
    <col min="9995" max="9995" width="0" style="13" hidden="1" customWidth="1"/>
    <col min="9996" max="9996" width="13.5703125" style="13" customWidth="1"/>
    <col min="9997" max="10237" width="9.140625" style="13"/>
    <col min="10238" max="10238" width="33.85546875" style="13" customWidth="1"/>
    <col min="10239" max="10239" width="12.5703125" style="13" customWidth="1"/>
    <col min="10240" max="10240" width="12.42578125" style="13" customWidth="1"/>
    <col min="10241" max="10241" width="0" style="13" hidden="1" customWidth="1"/>
    <col min="10242" max="10247" width="12.5703125" style="13" customWidth="1"/>
    <col min="10248" max="10248" width="0" style="13" hidden="1" customWidth="1"/>
    <col min="10249" max="10249" width="12.5703125" style="13" customWidth="1"/>
    <col min="10250" max="10250" width="12.42578125" style="13" customWidth="1"/>
    <col min="10251" max="10251" width="0" style="13" hidden="1" customWidth="1"/>
    <col min="10252" max="10252" width="13.5703125" style="13" customWidth="1"/>
    <col min="10253" max="10493" width="9.140625" style="13"/>
    <col min="10494" max="10494" width="33.85546875" style="13" customWidth="1"/>
    <col min="10495" max="10495" width="12.5703125" style="13" customWidth="1"/>
    <col min="10496" max="10496" width="12.42578125" style="13" customWidth="1"/>
    <col min="10497" max="10497" width="0" style="13" hidden="1" customWidth="1"/>
    <col min="10498" max="10503" width="12.5703125" style="13" customWidth="1"/>
    <col min="10504" max="10504" width="0" style="13" hidden="1" customWidth="1"/>
    <col min="10505" max="10505" width="12.5703125" style="13" customWidth="1"/>
    <col min="10506" max="10506" width="12.42578125" style="13" customWidth="1"/>
    <col min="10507" max="10507" width="0" style="13" hidden="1" customWidth="1"/>
    <col min="10508" max="10508" width="13.5703125" style="13" customWidth="1"/>
    <col min="10509" max="10749" width="9.140625" style="13"/>
    <col min="10750" max="10750" width="33.85546875" style="13" customWidth="1"/>
    <col min="10751" max="10751" width="12.5703125" style="13" customWidth="1"/>
    <col min="10752" max="10752" width="12.42578125" style="13" customWidth="1"/>
    <col min="10753" max="10753" width="0" style="13" hidden="1" customWidth="1"/>
    <col min="10754" max="10759" width="12.5703125" style="13" customWidth="1"/>
    <col min="10760" max="10760" width="0" style="13" hidden="1" customWidth="1"/>
    <col min="10761" max="10761" width="12.5703125" style="13" customWidth="1"/>
    <col min="10762" max="10762" width="12.42578125" style="13" customWidth="1"/>
    <col min="10763" max="10763" width="0" style="13" hidden="1" customWidth="1"/>
    <col min="10764" max="10764" width="13.5703125" style="13" customWidth="1"/>
    <col min="10765" max="11005" width="9.140625" style="13"/>
    <col min="11006" max="11006" width="33.85546875" style="13" customWidth="1"/>
    <col min="11007" max="11007" width="12.5703125" style="13" customWidth="1"/>
    <col min="11008" max="11008" width="12.42578125" style="13" customWidth="1"/>
    <col min="11009" max="11009" width="0" style="13" hidden="1" customWidth="1"/>
    <col min="11010" max="11015" width="12.5703125" style="13" customWidth="1"/>
    <col min="11016" max="11016" width="0" style="13" hidden="1" customWidth="1"/>
    <col min="11017" max="11017" width="12.5703125" style="13" customWidth="1"/>
    <col min="11018" max="11018" width="12.42578125" style="13" customWidth="1"/>
    <col min="11019" max="11019" width="0" style="13" hidden="1" customWidth="1"/>
    <col min="11020" max="11020" width="13.5703125" style="13" customWidth="1"/>
    <col min="11021" max="11261" width="9.140625" style="13"/>
    <col min="11262" max="11262" width="33.85546875" style="13" customWidth="1"/>
    <col min="11263" max="11263" width="12.5703125" style="13" customWidth="1"/>
    <col min="11264" max="11264" width="12.42578125" style="13" customWidth="1"/>
    <col min="11265" max="11265" width="0" style="13" hidden="1" customWidth="1"/>
    <col min="11266" max="11271" width="12.5703125" style="13" customWidth="1"/>
    <col min="11272" max="11272" width="0" style="13" hidden="1" customWidth="1"/>
    <col min="11273" max="11273" width="12.5703125" style="13" customWidth="1"/>
    <col min="11274" max="11274" width="12.42578125" style="13" customWidth="1"/>
    <col min="11275" max="11275" width="0" style="13" hidden="1" customWidth="1"/>
    <col min="11276" max="11276" width="13.5703125" style="13" customWidth="1"/>
    <col min="11277" max="11517" width="9.140625" style="13"/>
    <col min="11518" max="11518" width="33.85546875" style="13" customWidth="1"/>
    <col min="11519" max="11519" width="12.5703125" style="13" customWidth="1"/>
    <col min="11520" max="11520" width="12.42578125" style="13" customWidth="1"/>
    <col min="11521" max="11521" width="0" style="13" hidden="1" customWidth="1"/>
    <col min="11522" max="11527" width="12.5703125" style="13" customWidth="1"/>
    <col min="11528" max="11528" width="0" style="13" hidden="1" customWidth="1"/>
    <col min="11529" max="11529" width="12.5703125" style="13" customWidth="1"/>
    <col min="11530" max="11530" width="12.42578125" style="13" customWidth="1"/>
    <col min="11531" max="11531" width="0" style="13" hidden="1" customWidth="1"/>
    <col min="11532" max="11532" width="13.5703125" style="13" customWidth="1"/>
    <col min="11533" max="11773" width="9.140625" style="13"/>
    <col min="11774" max="11774" width="33.85546875" style="13" customWidth="1"/>
    <col min="11775" max="11775" width="12.5703125" style="13" customWidth="1"/>
    <col min="11776" max="11776" width="12.42578125" style="13" customWidth="1"/>
    <col min="11777" max="11777" width="0" style="13" hidden="1" customWidth="1"/>
    <col min="11778" max="11783" width="12.5703125" style="13" customWidth="1"/>
    <col min="11784" max="11784" width="0" style="13" hidden="1" customWidth="1"/>
    <col min="11785" max="11785" width="12.5703125" style="13" customWidth="1"/>
    <col min="11786" max="11786" width="12.42578125" style="13" customWidth="1"/>
    <col min="11787" max="11787" width="0" style="13" hidden="1" customWidth="1"/>
    <col min="11788" max="11788" width="13.5703125" style="13" customWidth="1"/>
    <col min="11789" max="12029" width="9.140625" style="13"/>
    <col min="12030" max="12030" width="33.85546875" style="13" customWidth="1"/>
    <col min="12031" max="12031" width="12.5703125" style="13" customWidth="1"/>
    <col min="12032" max="12032" width="12.42578125" style="13" customWidth="1"/>
    <col min="12033" max="12033" width="0" style="13" hidden="1" customWidth="1"/>
    <col min="12034" max="12039" width="12.5703125" style="13" customWidth="1"/>
    <col min="12040" max="12040" width="0" style="13" hidden="1" customWidth="1"/>
    <col min="12041" max="12041" width="12.5703125" style="13" customWidth="1"/>
    <col min="12042" max="12042" width="12.42578125" style="13" customWidth="1"/>
    <col min="12043" max="12043" width="0" style="13" hidden="1" customWidth="1"/>
    <col min="12044" max="12044" width="13.5703125" style="13" customWidth="1"/>
    <col min="12045" max="12285" width="9.140625" style="13"/>
    <col min="12286" max="12286" width="33.85546875" style="13" customWidth="1"/>
    <col min="12287" max="12287" width="12.5703125" style="13" customWidth="1"/>
    <col min="12288" max="12288" width="12.42578125" style="13" customWidth="1"/>
    <col min="12289" max="12289" width="0" style="13" hidden="1" customWidth="1"/>
    <col min="12290" max="12295" width="12.5703125" style="13" customWidth="1"/>
    <col min="12296" max="12296" width="0" style="13" hidden="1" customWidth="1"/>
    <col min="12297" max="12297" width="12.5703125" style="13" customWidth="1"/>
    <col min="12298" max="12298" width="12.42578125" style="13" customWidth="1"/>
    <col min="12299" max="12299" width="0" style="13" hidden="1" customWidth="1"/>
    <col min="12300" max="12300" width="13.5703125" style="13" customWidth="1"/>
    <col min="12301" max="12541" width="9.140625" style="13"/>
    <col min="12542" max="12542" width="33.85546875" style="13" customWidth="1"/>
    <col min="12543" max="12543" width="12.5703125" style="13" customWidth="1"/>
    <col min="12544" max="12544" width="12.42578125" style="13" customWidth="1"/>
    <col min="12545" max="12545" width="0" style="13" hidden="1" customWidth="1"/>
    <col min="12546" max="12551" width="12.5703125" style="13" customWidth="1"/>
    <col min="12552" max="12552" width="0" style="13" hidden="1" customWidth="1"/>
    <col min="12553" max="12553" width="12.5703125" style="13" customWidth="1"/>
    <col min="12554" max="12554" width="12.42578125" style="13" customWidth="1"/>
    <col min="12555" max="12555" width="0" style="13" hidden="1" customWidth="1"/>
    <col min="12556" max="12556" width="13.5703125" style="13" customWidth="1"/>
    <col min="12557" max="12797" width="9.140625" style="13"/>
    <col min="12798" max="12798" width="33.85546875" style="13" customWidth="1"/>
    <col min="12799" max="12799" width="12.5703125" style="13" customWidth="1"/>
    <col min="12800" max="12800" width="12.42578125" style="13" customWidth="1"/>
    <col min="12801" max="12801" width="0" style="13" hidden="1" customWidth="1"/>
    <col min="12802" max="12807" width="12.5703125" style="13" customWidth="1"/>
    <col min="12808" max="12808" width="0" style="13" hidden="1" customWidth="1"/>
    <col min="12809" max="12809" width="12.5703125" style="13" customWidth="1"/>
    <col min="12810" max="12810" width="12.42578125" style="13" customWidth="1"/>
    <col min="12811" max="12811" width="0" style="13" hidden="1" customWidth="1"/>
    <col min="12812" max="12812" width="13.5703125" style="13" customWidth="1"/>
    <col min="12813" max="13053" width="9.140625" style="13"/>
    <col min="13054" max="13054" width="33.85546875" style="13" customWidth="1"/>
    <col min="13055" max="13055" width="12.5703125" style="13" customWidth="1"/>
    <col min="13056" max="13056" width="12.42578125" style="13" customWidth="1"/>
    <col min="13057" max="13057" width="0" style="13" hidden="1" customWidth="1"/>
    <col min="13058" max="13063" width="12.5703125" style="13" customWidth="1"/>
    <col min="13064" max="13064" width="0" style="13" hidden="1" customWidth="1"/>
    <col min="13065" max="13065" width="12.5703125" style="13" customWidth="1"/>
    <col min="13066" max="13066" width="12.42578125" style="13" customWidth="1"/>
    <col min="13067" max="13067" width="0" style="13" hidden="1" customWidth="1"/>
    <col min="13068" max="13068" width="13.5703125" style="13" customWidth="1"/>
    <col min="13069" max="13309" width="9.140625" style="13"/>
    <col min="13310" max="13310" width="33.85546875" style="13" customWidth="1"/>
    <col min="13311" max="13311" width="12.5703125" style="13" customWidth="1"/>
    <col min="13312" max="13312" width="12.42578125" style="13" customWidth="1"/>
    <col min="13313" max="13313" width="0" style="13" hidden="1" customWidth="1"/>
    <col min="13314" max="13319" width="12.5703125" style="13" customWidth="1"/>
    <col min="13320" max="13320" width="0" style="13" hidden="1" customWidth="1"/>
    <col min="13321" max="13321" width="12.5703125" style="13" customWidth="1"/>
    <col min="13322" max="13322" width="12.42578125" style="13" customWidth="1"/>
    <col min="13323" max="13323" width="0" style="13" hidden="1" customWidth="1"/>
    <col min="13324" max="13324" width="13.5703125" style="13" customWidth="1"/>
    <col min="13325" max="13565" width="9.140625" style="13"/>
    <col min="13566" max="13566" width="33.85546875" style="13" customWidth="1"/>
    <col min="13567" max="13567" width="12.5703125" style="13" customWidth="1"/>
    <col min="13568" max="13568" width="12.42578125" style="13" customWidth="1"/>
    <col min="13569" max="13569" width="0" style="13" hidden="1" customWidth="1"/>
    <col min="13570" max="13575" width="12.5703125" style="13" customWidth="1"/>
    <col min="13576" max="13576" width="0" style="13" hidden="1" customWidth="1"/>
    <col min="13577" max="13577" width="12.5703125" style="13" customWidth="1"/>
    <col min="13578" max="13578" width="12.42578125" style="13" customWidth="1"/>
    <col min="13579" max="13579" width="0" style="13" hidden="1" customWidth="1"/>
    <col min="13580" max="13580" width="13.5703125" style="13" customWidth="1"/>
    <col min="13581" max="13821" width="9.140625" style="13"/>
    <col min="13822" max="13822" width="33.85546875" style="13" customWidth="1"/>
    <col min="13823" max="13823" width="12.5703125" style="13" customWidth="1"/>
    <col min="13824" max="13824" width="12.42578125" style="13" customWidth="1"/>
    <col min="13825" max="13825" width="0" style="13" hidden="1" customWidth="1"/>
    <col min="13826" max="13831" width="12.5703125" style="13" customWidth="1"/>
    <col min="13832" max="13832" width="0" style="13" hidden="1" customWidth="1"/>
    <col min="13833" max="13833" width="12.5703125" style="13" customWidth="1"/>
    <col min="13834" max="13834" width="12.42578125" style="13" customWidth="1"/>
    <col min="13835" max="13835" width="0" style="13" hidden="1" customWidth="1"/>
    <col min="13836" max="13836" width="13.5703125" style="13" customWidth="1"/>
    <col min="13837" max="14077" width="9.140625" style="13"/>
    <col min="14078" max="14078" width="33.85546875" style="13" customWidth="1"/>
    <col min="14079" max="14079" width="12.5703125" style="13" customWidth="1"/>
    <col min="14080" max="14080" width="12.42578125" style="13" customWidth="1"/>
    <col min="14081" max="14081" width="0" style="13" hidden="1" customWidth="1"/>
    <col min="14082" max="14087" width="12.5703125" style="13" customWidth="1"/>
    <col min="14088" max="14088" width="0" style="13" hidden="1" customWidth="1"/>
    <col min="14089" max="14089" width="12.5703125" style="13" customWidth="1"/>
    <col min="14090" max="14090" width="12.42578125" style="13" customWidth="1"/>
    <col min="14091" max="14091" width="0" style="13" hidden="1" customWidth="1"/>
    <col min="14092" max="14092" width="13.5703125" style="13" customWidth="1"/>
    <col min="14093" max="14333" width="9.140625" style="13"/>
    <col min="14334" max="14334" width="33.85546875" style="13" customWidth="1"/>
    <col min="14335" max="14335" width="12.5703125" style="13" customWidth="1"/>
    <col min="14336" max="14336" width="12.42578125" style="13" customWidth="1"/>
    <col min="14337" max="14337" width="0" style="13" hidden="1" customWidth="1"/>
    <col min="14338" max="14343" width="12.5703125" style="13" customWidth="1"/>
    <col min="14344" max="14344" width="0" style="13" hidden="1" customWidth="1"/>
    <col min="14345" max="14345" width="12.5703125" style="13" customWidth="1"/>
    <col min="14346" max="14346" width="12.42578125" style="13" customWidth="1"/>
    <col min="14347" max="14347" width="0" style="13" hidden="1" customWidth="1"/>
    <col min="14348" max="14348" width="13.5703125" style="13" customWidth="1"/>
    <col min="14349" max="14589" width="9.140625" style="13"/>
    <col min="14590" max="14590" width="33.85546875" style="13" customWidth="1"/>
    <col min="14591" max="14591" width="12.5703125" style="13" customWidth="1"/>
    <col min="14592" max="14592" width="12.42578125" style="13" customWidth="1"/>
    <col min="14593" max="14593" width="0" style="13" hidden="1" customWidth="1"/>
    <col min="14594" max="14599" width="12.5703125" style="13" customWidth="1"/>
    <col min="14600" max="14600" width="0" style="13" hidden="1" customWidth="1"/>
    <col min="14601" max="14601" width="12.5703125" style="13" customWidth="1"/>
    <col min="14602" max="14602" width="12.42578125" style="13" customWidth="1"/>
    <col min="14603" max="14603" width="0" style="13" hidden="1" customWidth="1"/>
    <col min="14604" max="14604" width="13.5703125" style="13" customWidth="1"/>
    <col min="14605" max="14845" width="9.140625" style="13"/>
    <col min="14846" max="14846" width="33.85546875" style="13" customWidth="1"/>
    <col min="14847" max="14847" width="12.5703125" style="13" customWidth="1"/>
    <col min="14848" max="14848" width="12.42578125" style="13" customWidth="1"/>
    <col min="14849" max="14849" width="0" style="13" hidden="1" customWidth="1"/>
    <col min="14850" max="14855" width="12.5703125" style="13" customWidth="1"/>
    <col min="14856" max="14856" width="0" style="13" hidden="1" customWidth="1"/>
    <col min="14857" max="14857" width="12.5703125" style="13" customWidth="1"/>
    <col min="14858" max="14858" width="12.42578125" style="13" customWidth="1"/>
    <col min="14859" max="14859" width="0" style="13" hidden="1" customWidth="1"/>
    <col min="14860" max="14860" width="13.5703125" style="13" customWidth="1"/>
    <col min="14861" max="15101" width="9.140625" style="13"/>
    <col min="15102" max="15102" width="33.85546875" style="13" customWidth="1"/>
    <col min="15103" max="15103" width="12.5703125" style="13" customWidth="1"/>
    <col min="15104" max="15104" width="12.42578125" style="13" customWidth="1"/>
    <col min="15105" max="15105" width="0" style="13" hidden="1" customWidth="1"/>
    <col min="15106" max="15111" width="12.5703125" style="13" customWidth="1"/>
    <col min="15112" max="15112" width="0" style="13" hidden="1" customWidth="1"/>
    <col min="15113" max="15113" width="12.5703125" style="13" customWidth="1"/>
    <col min="15114" max="15114" width="12.42578125" style="13" customWidth="1"/>
    <col min="15115" max="15115" width="0" style="13" hidden="1" customWidth="1"/>
    <col min="15116" max="15116" width="13.5703125" style="13" customWidth="1"/>
    <col min="15117" max="15357" width="9.140625" style="13"/>
    <col min="15358" max="15358" width="33.85546875" style="13" customWidth="1"/>
    <col min="15359" max="15359" width="12.5703125" style="13" customWidth="1"/>
    <col min="15360" max="15360" width="12.42578125" style="13" customWidth="1"/>
    <col min="15361" max="15361" width="0" style="13" hidden="1" customWidth="1"/>
    <col min="15362" max="15367" width="12.5703125" style="13" customWidth="1"/>
    <col min="15368" max="15368" width="0" style="13" hidden="1" customWidth="1"/>
    <col min="15369" max="15369" width="12.5703125" style="13" customWidth="1"/>
    <col min="15370" max="15370" width="12.42578125" style="13" customWidth="1"/>
    <col min="15371" max="15371" width="0" style="13" hidden="1" customWidth="1"/>
    <col min="15372" max="15372" width="13.5703125" style="13" customWidth="1"/>
    <col min="15373" max="15613" width="9.140625" style="13"/>
    <col min="15614" max="15614" width="33.85546875" style="13" customWidth="1"/>
    <col min="15615" max="15615" width="12.5703125" style="13" customWidth="1"/>
    <col min="15616" max="15616" width="12.42578125" style="13" customWidth="1"/>
    <col min="15617" max="15617" width="0" style="13" hidden="1" customWidth="1"/>
    <col min="15618" max="15623" width="12.5703125" style="13" customWidth="1"/>
    <col min="15624" max="15624" width="0" style="13" hidden="1" customWidth="1"/>
    <col min="15625" max="15625" width="12.5703125" style="13" customWidth="1"/>
    <col min="15626" max="15626" width="12.42578125" style="13" customWidth="1"/>
    <col min="15627" max="15627" width="0" style="13" hidden="1" customWidth="1"/>
    <col min="15628" max="15628" width="13.5703125" style="13" customWidth="1"/>
    <col min="15629" max="15869" width="9.140625" style="13"/>
    <col min="15870" max="15870" width="33.85546875" style="13" customWidth="1"/>
    <col min="15871" max="15871" width="12.5703125" style="13" customWidth="1"/>
    <col min="15872" max="15872" width="12.42578125" style="13" customWidth="1"/>
    <col min="15873" max="15873" width="0" style="13" hidden="1" customWidth="1"/>
    <col min="15874" max="15879" width="12.5703125" style="13" customWidth="1"/>
    <col min="15880" max="15880" width="0" style="13" hidden="1" customWidth="1"/>
    <col min="15881" max="15881" width="12.5703125" style="13" customWidth="1"/>
    <col min="15882" max="15882" width="12.42578125" style="13" customWidth="1"/>
    <col min="15883" max="15883" width="0" style="13" hidden="1" customWidth="1"/>
    <col min="15884" max="15884" width="13.5703125" style="13" customWidth="1"/>
    <col min="15885" max="16125" width="9.140625" style="13"/>
    <col min="16126" max="16126" width="33.85546875" style="13" customWidth="1"/>
    <col min="16127" max="16127" width="12.5703125" style="13" customWidth="1"/>
    <col min="16128" max="16128" width="12.42578125" style="13" customWidth="1"/>
    <col min="16129" max="16129" width="0" style="13" hidden="1" customWidth="1"/>
    <col min="16130" max="16135" width="12.5703125" style="13" customWidth="1"/>
    <col min="16136" max="16136" width="0" style="13" hidden="1" customWidth="1"/>
    <col min="16137" max="16137" width="12.5703125" style="13" customWidth="1"/>
    <col min="16138" max="16138" width="12.42578125" style="13" customWidth="1"/>
    <col min="16139" max="16139" width="0" style="13" hidden="1" customWidth="1"/>
    <col min="16140" max="16140" width="13.5703125" style="13" customWidth="1"/>
    <col min="16141" max="16384" width="9.140625" style="13"/>
  </cols>
  <sheetData>
    <row r="1" spans="1:13" s="75" customFormat="1" ht="20.100000000000001" customHeight="1" x14ac:dyDescent="0.25">
      <c r="A1" s="186" t="s">
        <v>42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s="76" customFormat="1" ht="20.100000000000001" customHeight="1" x14ac:dyDescent="0.25">
      <c r="A2" s="186" t="s">
        <v>98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s="11" customFormat="1" ht="17.25" customHeight="1" x14ac:dyDescent="0.2">
      <c r="A3" s="32"/>
      <c r="B3" s="32"/>
      <c r="C3" s="71"/>
      <c r="D3" s="71"/>
      <c r="E3" s="67"/>
      <c r="F3" s="72"/>
      <c r="G3" s="71"/>
      <c r="H3" s="71"/>
      <c r="I3" s="73"/>
      <c r="J3" s="71"/>
      <c r="K3" s="74"/>
      <c r="L3" s="73"/>
      <c r="M3" s="77" t="s">
        <v>45</v>
      </c>
    </row>
    <row r="4" spans="1:13" s="12" customFormat="1" ht="26.25" customHeight="1" x14ac:dyDescent="0.2">
      <c r="A4" s="33"/>
      <c r="B4" s="33"/>
      <c r="C4" s="33" t="s">
        <v>46</v>
      </c>
      <c r="D4" s="33" t="s">
        <v>47</v>
      </c>
      <c r="E4" s="33" t="s">
        <v>92</v>
      </c>
      <c r="F4" s="33" t="s">
        <v>93</v>
      </c>
      <c r="G4" s="33" t="s">
        <v>6</v>
      </c>
      <c r="H4" s="33" t="s">
        <v>94</v>
      </c>
      <c r="I4" s="33" t="s">
        <v>8</v>
      </c>
      <c r="J4" s="33" t="s">
        <v>95</v>
      </c>
      <c r="K4" s="33" t="s">
        <v>96</v>
      </c>
      <c r="L4" s="33" t="s">
        <v>97</v>
      </c>
      <c r="M4" s="34" t="s">
        <v>13</v>
      </c>
    </row>
    <row r="5" spans="1:13" s="12" customFormat="1" ht="15.75" customHeight="1" x14ac:dyDescent="0.2">
      <c r="A5" s="35" t="s">
        <v>62</v>
      </c>
      <c r="B5" s="18" t="s">
        <v>41</v>
      </c>
      <c r="C5" s="36">
        <v>21074.186000000002</v>
      </c>
      <c r="D5" s="36">
        <v>25252.396000000001</v>
      </c>
      <c r="E5" s="36">
        <v>1E-3</v>
      </c>
      <c r="F5" s="37">
        <v>5519.4859999999999</v>
      </c>
      <c r="G5" s="38">
        <v>17163.841</v>
      </c>
      <c r="H5" s="38">
        <v>0</v>
      </c>
      <c r="I5" s="39">
        <v>0</v>
      </c>
      <c r="J5" s="40">
        <v>12920.56</v>
      </c>
      <c r="K5" s="39">
        <v>164.947</v>
      </c>
      <c r="L5" s="39">
        <v>13533.546</v>
      </c>
      <c r="M5" s="41">
        <f t="shared" ref="M5:M34" si="0">SUM(C5:L5)</f>
        <v>95628.963000000003</v>
      </c>
    </row>
    <row r="6" spans="1:13" s="12" customFormat="1" ht="15.75" customHeight="1" x14ac:dyDescent="0.2">
      <c r="A6" s="35" t="s">
        <v>63</v>
      </c>
      <c r="B6" s="18" t="s">
        <v>130</v>
      </c>
      <c r="C6" s="42">
        <v>188609.356</v>
      </c>
      <c r="D6" s="43">
        <v>207510</v>
      </c>
      <c r="E6" s="42">
        <v>0</v>
      </c>
      <c r="F6" s="42">
        <v>9029.625</v>
      </c>
      <c r="G6" s="42">
        <v>48696.016000000003</v>
      </c>
      <c r="H6" s="42">
        <v>0</v>
      </c>
      <c r="I6" s="42">
        <v>56250</v>
      </c>
      <c r="J6" s="44">
        <v>0</v>
      </c>
      <c r="K6" s="43">
        <v>18525</v>
      </c>
      <c r="L6" s="42">
        <v>183722.35500000001</v>
      </c>
      <c r="M6" s="41">
        <f t="shared" si="0"/>
        <v>712342.35199999996</v>
      </c>
    </row>
    <row r="7" spans="1:13" s="12" customFormat="1" ht="15.75" customHeight="1" x14ac:dyDescent="0.2">
      <c r="A7" s="35" t="s">
        <v>64</v>
      </c>
      <c r="B7" s="18" t="s">
        <v>130</v>
      </c>
      <c r="C7" s="42">
        <v>544502.223</v>
      </c>
      <c r="D7" s="43">
        <v>3448130</v>
      </c>
      <c r="E7" s="42">
        <v>405.76400000000001</v>
      </c>
      <c r="F7" s="42">
        <v>150300</v>
      </c>
      <c r="G7" s="42">
        <v>104053.053</v>
      </c>
      <c r="H7" s="42">
        <v>1250</v>
      </c>
      <c r="I7" s="42">
        <v>325805</v>
      </c>
      <c r="J7" s="45">
        <v>0</v>
      </c>
      <c r="K7" s="42">
        <v>0</v>
      </c>
      <c r="L7" s="42">
        <v>464850.55300000001</v>
      </c>
      <c r="M7" s="41">
        <f t="shared" si="0"/>
        <v>5039296.5930000003</v>
      </c>
    </row>
    <row r="8" spans="1:13" s="12" customFormat="1" ht="15.75" customHeight="1" x14ac:dyDescent="0.2">
      <c r="A8" s="35" t="s">
        <v>65</v>
      </c>
      <c r="B8" s="18" t="s">
        <v>130</v>
      </c>
      <c r="C8" s="42">
        <v>32860.97</v>
      </c>
      <c r="D8" s="43">
        <v>90721.361999999994</v>
      </c>
      <c r="E8" s="42">
        <v>21.943999999999999</v>
      </c>
      <c r="F8" s="43">
        <v>6042.2569999999996</v>
      </c>
      <c r="G8" s="42">
        <v>17950.419000000002</v>
      </c>
      <c r="H8" s="42">
        <v>41.232999999999997</v>
      </c>
      <c r="I8" s="43">
        <v>10836.216</v>
      </c>
      <c r="J8" s="45">
        <v>6139.3310000000001</v>
      </c>
      <c r="K8" s="42">
        <v>723.41300000000001</v>
      </c>
      <c r="L8" s="42">
        <v>39050.955000000002</v>
      </c>
      <c r="M8" s="41">
        <f t="shared" si="0"/>
        <v>204388.10000000003</v>
      </c>
    </row>
    <row r="9" spans="1:13" s="12" customFormat="1" ht="15.75" customHeight="1" x14ac:dyDescent="0.2">
      <c r="A9" s="35" t="s">
        <v>66</v>
      </c>
      <c r="B9" s="18" t="s">
        <v>18</v>
      </c>
      <c r="C9" s="42">
        <v>540625.61300000001</v>
      </c>
      <c r="D9" s="43">
        <v>16673024.163000001</v>
      </c>
      <c r="E9" s="42">
        <v>0</v>
      </c>
      <c r="F9" s="43">
        <v>33937.017</v>
      </c>
      <c r="G9" s="42">
        <v>75</v>
      </c>
      <c r="H9" s="42">
        <v>0</v>
      </c>
      <c r="I9" s="43">
        <v>0</v>
      </c>
      <c r="J9" s="45">
        <v>0</v>
      </c>
      <c r="K9" s="43">
        <v>0</v>
      </c>
      <c r="L9" s="42">
        <v>2249071.64</v>
      </c>
      <c r="M9" s="41">
        <f t="shared" si="0"/>
        <v>19496733.433000002</v>
      </c>
    </row>
    <row r="10" spans="1:13" s="12" customFormat="1" ht="15.75" customHeight="1" x14ac:dyDescent="0.2">
      <c r="A10" s="35" t="s">
        <v>67</v>
      </c>
      <c r="B10" s="18" t="s">
        <v>131</v>
      </c>
      <c r="C10" s="42">
        <v>7185499.7829</v>
      </c>
      <c r="D10" s="43">
        <v>936033.01899999997</v>
      </c>
      <c r="E10" s="42">
        <v>0</v>
      </c>
      <c r="F10" s="42">
        <v>310993.33100000001</v>
      </c>
      <c r="G10" s="42">
        <v>2520333.4440000001</v>
      </c>
      <c r="H10" s="42">
        <v>1135.0640000000001</v>
      </c>
      <c r="I10" s="42">
        <v>96097.289000000004</v>
      </c>
      <c r="J10" s="44">
        <v>79260.990000000005</v>
      </c>
      <c r="K10" s="42">
        <v>0</v>
      </c>
      <c r="L10" s="42">
        <v>1214087.128</v>
      </c>
      <c r="M10" s="41">
        <f t="shared" si="0"/>
        <v>12343440.047900001</v>
      </c>
    </row>
    <row r="11" spans="1:13" s="12" customFormat="1" ht="15.75" customHeight="1" x14ac:dyDescent="0.2">
      <c r="A11" s="35" t="s">
        <v>68</v>
      </c>
      <c r="B11" s="18" t="s">
        <v>131</v>
      </c>
      <c r="C11" s="42">
        <v>637169.49604</v>
      </c>
      <c r="D11" s="43">
        <v>425578.89399999997</v>
      </c>
      <c r="E11" s="42">
        <v>25669.255000000001</v>
      </c>
      <c r="F11" s="42">
        <v>102943.652</v>
      </c>
      <c r="G11" s="42">
        <v>107301.61500000001</v>
      </c>
      <c r="H11" s="42">
        <v>0</v>
      </c>
      <c r="I11" s="43">
        <v>0</v>
      </c>
      <c r="J11" s="45">
        <v>0</v>
      </c>
      <c r="K11" s="43">
        <v>0</v>
      </c>
      <c r="L11" s="42">
        <v>99517.601999999999</v>
      </c>
      <c r="M11" s="41">
        <f t="shared" si="0"/>
        <v>1398180.5140399998</v>
      </c>
    </row>
    <row r="12" spans="1:13" s="12" customFormat="1" ht="15.75" customHeight="1" x14ac:dyDescent="0.2">
      <c r="A12" s="35" t="s">
        <v>69</v>
      </c>
      <c r="B12" s="18" t="s">
        <v>132</v>
      </c>
      <c r="C12" s="43">
        <v>145668.06052999999</v>
      </c>
      <c r="D12" s="43">
        <v>208769.09899999999</v>
      </c>
      <c r="E12" s="42">
        <v>0</v>
      </c>
      <c r="F12" s="43">
        <v>81565.966</v>
      </c>
      <c r="G12" s="42">
        <v>0</v>
      </c>
      <c r="H12" s="42">
        <v>0</v>
      </c>
      <c r="I12" s="42">
        <v>0</v>
      </c>
      <c r="J12" s="44">
        <v>22107.257000000001</v>
      </c>
      <c r="K12" s="42">
        <v>0</v>
      </c>
      <c r="L12" s="42">
        <v>0</v>
      </c>
      <c r="M12" s="41">
        <f t="shared" si="0"/>
        <v>458110.38252999994</v>
      </c>
    </row>
    <row r="13" spans="1:13" s="12" customFormat="1" ht="15.75" customHeight="1" x14ac:dyDescent="0.2">
      <c r="A13" s="35" t="s">
        <v>70</v>
      </c>
      <c r="B13" s="18" t="s">
        <v>132</v>
      </c>
      <c r="C13" s="43">
        <v>5298590.6197600001</v>
      </c>
      <c r="D13" s="43">
        <v>130811.53</v>
      </c>
      <c r="E13" s="42">
        <v>0</v>
      </c>
      <c r="F13" s="42">
        <v>3190.4929999999999</v>
      </c>
      <c r="G13" s="42">
        <v>104423.239</v>
      </c>
      <c r="H13" s="42">
        <v>0</v>
      </c>
      <c r="I13" s="42">
        <v>0</v>
      </c>
      <c r="J13" s="44">
        <v>148381.80799999999</v>
      </c>
      <c r="K13" s="43">
        <v>0</v>
      </c>
      <c r="L13" s="42">
        <v>66994.373000000007</v>
      </c>
      <c r="M13" s="41">
        <f t="shared" si="0"/>
        <v>5752392.0627600001</v>
      </c>
    </row>
    <row r="14" spans="1:13" s="12" customFormat="1" ht="15.75" customHeight="1" x14ac:dyDescent="0.2">
      <c r="A14" s="35" t="s">
        <v>71</v>
      </c>
      <c r="B14" s="18" t="s">
        <v>133</v>
      </c>
      <c r="C14" s="43">
        <v>4650249.3724999996</v>
      </c>
      <c r="D14" s="43">
        <v>131904.06400000001</v>
      </c>
      <c r="E14" s="42">
        <v>0</v>
      </c>
      <c r="F14" s="42">
        <v>0</v>
      </c>
      <c r="G14" s="42">
        <v>1832119.7420000001</v>
      </c>
      <c r="H14" s="42">
        <v>0</v>
      </c>
      <c r="I14" s="42">
        <v>1696953.774</v>
      </c>
      <c r="J14" s="44">
        <v>0</v>
      </c>
      <c r="K14" s="43">
        <v>0</v>
      </c>
      <c r="L14" s="42">
        <v>4103805.2519999999</v>
      </c>
      <c r="M14" s="41">
        <f t="shared" si="0"/>
        <v>12415032.204500001</v>
      </c>
    </row>
    <row r="15" spans="1:13" s="12" customFormat="1" ht="15.75" customHeight="1" x14ac:dyDescent="0.2">
      <c r="A15" s="35" t="s">
        <v>72</v>
      </c>
      <c r="B15" s="18" t="s">
        <v>133</v>
      </c>
      <c r="C15" s="42">
        <v>529231.40899000003</v>
      </c>
      <c r="D15" s="43">
        <v>54880.366999999998</v>
      </c>
      <c r="E15" s="42">
        <v>0</v>
      </c>
      <c r="F15" s="42">
        <v>43281.998</v>
      </c>
      <c r="G15" s="42">
        <v>150550</v>
      </c>
      <c r="H15" s="42">
        <v>0</v>
      </c>
      <c r="I15" s="42">
        <v>0</v>
      </c>
      <c r="J15" s="45">
        <v>129693.037</v>
      </c>
      <c r="K15" s="42">
        <v>0</v>
      </c>
      <c r="L15" s="42">
        <v>0</v>
      </c>
      <c r="M15" s="41">
        <f t="shared" si="0"/>
        <v>907636.81099000003</v>
      </c>
    </row>
    <row r="16" spans="1:13" s="12" customFormat="1" ht="15.75" customHeight="1" x14ac:dyDescent="0.2">
      <c r="A16" s="35" t="s">
        <v>73</v>
      </c>
      <c r="B16" s="18" t="s">
        <v>134</v>
      </c>
      <c r="C16" s="42">
        <v>2759205.966</v>
      </c>
      <c r="D16" s="43">
        <v>203247.56400000001</v>
      </c>
      <c r="E16" s="42">
        <v>3030.4920000000002</v>
      </c>
      <c r="F16" s="42">
        <v>115167.092</v>
      </c>
      <c r="G16" s="42">
        <v>558371.14099999995</v>
      </c>
      <c r="H16" s="42">
        <v>13270.428</v>
      </c>
      <c r="I16" s="42">
        <v>134194.86799999999</v>
      </c>
      <c r="J16" s="44">
        <v>112461.952</v>
      </c>
      <c r="K16" s="43">
        <v>317.34399999999999</v>
      </c>
      <c r="L16" s="42">
        <v>1035421.405</v>
      </c>
      <c r="M16" s="41">
        <f t="shared" si="0"/>
        <v>4934688.2520000003</v>
      </c>
    </row>
    <row r="17" spans="1:13" s="12" customFormat="1" ht="15.75" customHeight="1" x14ac:dyDescent="0.2">
      <c r="A17" s="35" t="s">
        <v>74</v>
      </c>
      <c r="B17" s="18" t="s">
        <v>134</v>
      </c>
      <c r="C17" s="42">
        <v>2050335.3570000001</v>
      </c>
      <c r="D17" s="43">
        <v>15353.436</v>
      </c>
      <c r="E17" s="42">
        <v>0</v>
      </c>
      <c r="F17" s="43">
        <v>0</v>
      </c>
      <c r="G17" s="42">
        <v>21158.641</v>
      </c>
      <c r="H17" s="42">
        <v>498.40499999999997</v>
      </c>
      <c r="I17" s="43">
        <v>0</v>
      </c>
      <c r="J17" s="45">
        <v>0</v>
      </c>
      <c r="K17" s="43">
        <v>0</v>
      </c>
      <c r="L17" s="42">
        <v>2423.259</v>
      </c>
      <c r="M17" s="41">
        <f t="shared" si="0"/>
        <v>2089769.0980000002</v>
      </c>
    </row>
    <row r="18" spans="1:13" s="12" customFormat="1" ht="15.75" customHeight="1" x14ac:dyDescent="0.2">
      <c r="A18" s="35" t="s">
        <v>75</v>
      </c>
      <c r="B18" s="18" t="s">
        <v>134</v>
      </c>
      <c r="C18" s="43">
        <v>103044.50599999999</v>
      </c>
      <c r="D18" s="43">
        <v>191743.747</v>
      </c>
      <c r="E18" s="42">
        <v>1089.223</v>
      </c>
      <c r="F18" s="42">
        <v>29393.22</v>
      </c>
      <c r="G18" s="42">
        <v>19117.825000000001</v>
      </c>
      <c r="H18" s="42">
        <v>117.767</v>
      </c>
      <c r="I18" s="43">
        <v>56603.366000000002</v>
      </c>
      <c r="J18" s="44">
        <v>31485.798999999999</v>
      </c>
      <c r="K18" s="42">
        <v>280.69099999999997</v>
      </c>
      <c r="L18" s="42">
        <v>126993.72100000001</v>
      </c>
      <c r="M18" s="41">
        <f t="shared" si="0"/>
        <v>559869.86499999999</v>
      </c>
    </row>
    <row r="19" spans="1:13" s="12" customFormat="1" ht="15.75" customHeight="1" x14ac:dyDescent="0.2">
      <c r="A19" s="35" t="s">
        <v>76</v>
      </c>
      <c r="B19" s="18" t="s">
        <v>134</v>
      </c>
      <c r="C19" s="42">
        <v>6624.6310000000003</v>
      </c>
      <c r="D19" s="43">
        <v>0</v>
      </c>
      <c r="E19" s="42">
        <v>0</v>
      </c>
      <c r="F19" s="43">
        <v>0</v>
      </c>
      <c r="G19" s="42">
        <v>53891.944000000003</v>
      </c>
      <c r="H19" s="42">
        <v>0</v>
      </c>
      <c r="I19" s="43">
        <v>0</v>
      </c>
      <c r="J19" s="45">
        <v>0</v>
      </c>
      <c r="K19" s="43">
        <v>0</v>
      </c>
      <c r="L19" s="42">
        <v>178250.21799999999</v>
      </c>
      <c r="M19" s="41">
        <f t="shared" si="0"/>
        <v>238766.79300000001</v>
      </c>
    </row>
    <row r="20" spans="1:13" s="12" customFormat="1" ht="15.75" customHeight="1" x14ac:dyDescent="0.2">
      <c r="A20" s="35" t="s">
        <v>77</v>
      </c>
      <c r="B20" s="18" t="s">
        <v>134</v>
      </c>
      <c r="C20" s="42">
        <v>25095.091</v>
      </c>
      <c r="D20" s="43">
        <v>0</v>
      </c>
      <c r="E20" s="42">
        <v>0</v>
      </c>
      <c r="F20" s="42">
        <v>0</v>
      </c>
      <c r="G20" s="42">
        <v>151.61199999999999</v>
      </c>
      <c r="H20" s="42">
        <v>224.12799999999999</v>
      </c>
      <c r="I20" s="42">
        <v>0</v>
      </c>
      <c r="J20" s="44">
        <v>0</v>
      </c>
      <c r="K20" s="42">
        <v>0</v>
      </c>
      <c r="L20" s="42">
        <v>66500</v>
      </c>
      <c r="M20" s="41">
        <f t="shared" si="0"/>
        <v>91970.831000000006</v>
      </c>
    </row>
    <row r="21" spans="1:13" s="12" customFormat="1" ht="15.75" customHeight="1" x14ac:dyDescent="0.2">
      <c r="A21" s="35" t="s">
        <v>78</v>
      </c>
      <c r="B21" s="18" t="s">
        <v>134</v>
      </c>
      <c r="C21" s="42">
        <v>42362.567000000003</v>
      </c>
      <c r="D21" s="43">
        <v>0</v>
      </c>
      <c r="E21" s="42">
        <v>0</v>
      </c>
      <c r="F21" s="42">
        <v>2604.2060000000001</v>
      </c>
      <c r="G21" s="42">
        <v>11277.538</v>
      </c>
      <c r="H21" s="42">
        <v>0</v>
      </c>
      <c r="I21" s="43">
        <v>0</v>
      </c>
      <c r="J21" s="44">
        <v>0</v>
      </c>
      <c r="K21" s="42">
        <v>0</v>
      </c>
      <c r="L21" s="42">
        <v>7534.1059999999998</v>
      </c>
      <c r="M21" s="41">
        <f t="shared" si="0"/>
        <v>63778.417000000001</v>
      </c>
    </row>
    <row r="22" spans="1:13" s="12" customFormat="1" ht="15.75" customHeight="1" x14ac:dyDescent="0.2">
      <c r="A22" s="35" t="s">
        <v>79</v>
      </c>
      <c r="B22" s="18" t="s">
        <v>134</v>
      </c>
      <c r="C22" s="42">
        <v>13355.138999999999</v>
      </c>
      <c r="D22" s="43">
        <v>5727958.9029999999</v>
      </c>
      <c r="E22" s="42">
        <v>0</v>
      </c>
      <c r="F22" s="42">
        <v>38154.438999999998</v>
      </c>
      <c r="G22" s="42">
        <v>64283.881000000001</v>
      </c>
      <c r="H22" s="42">
        <v>0</v>
      </c>
      <c r="I22" s="42">
        <v>0</v>
      </c>
      <c r="J22" s="44">
        <v>0</v>
      </c>
      <c r="K22" s="42">
        <v>0</v>
      </c>
      <c r="L22" s="42">
        <v>0</v>
      </c>
      <c r="M22" s="41">
        <f t="shared" si="0"/>
        <v>5843752.3620000007</v>
      </c>
    </row>
    <row r="23" spans="1:13" s="12" customFormat="1" ht="15.75" customHeight="1" x14ac:dyDescent="0.2">
      <c r="A23" s="35" t="s">
        <v>80</v>
      </c>
      <c r="B23" s="18" t="s">
        <v>134</v>
      </c>
      <c r="C23" s="42">
        <v>0</v>
      </c>
      <c r="D23" s="43">
        <v>0</v>
      </c>
      <c r="E23" s="42">
        <v>0</v>
      </c>
      <c r="F23" s="42">
        <v>52500</v>
      </c>
      <c r="G23" s="42">
        <v>0</v>
      </c>
      <c r="H23" s="43">
        <v>0</v>
      </c>
      <c r="I23" s="42">
        <v>0</v>
      </c>
      <c r="J23" s="44">
        <v>0</v>
      </c>
      <c r="K23" s="42">
        <v>0</v>
      </c>
      <c r="L23" s="42">
        <v>0</v>
      </c>
      <c r="M23" s="41">
        <f t="shared" si="0"/>
        <v>52500</v>
      </c>
    </row>
    <row r="24" spans="1:13" s="12" customFormat="1" ht="15.75" customHeight="1" x14ac:dyDescent="0.2">
      <c r="A24" s="35" t="s">
        <v>81</v>
      </c>
      <c r="B24" s="18" t="s">
        <v>135</v>
      </c>
      <c r="C24" s="43">
        <v>19.323</v>
      </c>
      <c r="D24" s="43">
        <v>70.2</v>
      </c>
      <c r="E24" s="42">
        <v>28.763999999999999</v>
      </c>
      <c r="F24" s="43">
        <v>33.098999999999997</v>
      </c>
      <c r="G24" s="42">
        <v>7.74</v>
      </c>
      <c r="H24" s="42">
        <v>0.64400000000000002</v>
      </c>
      <c r="I24" s="43">
        <v>31.390999999999998</v>
      </c>
      <c r="J24" s="45">
        <v>3</v>
      </c>
      <c r="K24" s="43">
        <v>428.70499999999998</v>
      </c>
      <c r="L24" s="42">
        <v>9338.8220000000001</v>
      </c>
      <c r="M24" s="41">
        <f t="shared" si="0"/>
        <v>9961.6880000000001</v>
      </c>
    </row>
    <row r="25" spans="1:13" s="12" customFormat="1" ht="15.75" customHeight="1" x14ac:dyDescent="0.2">
      <c r="A25" s="35" t="s">
        <v>82</v>
      </c>
      <c r="B25" s="18" t="s">
        <v>135</v>
      </c>
      <c r="C25" s="42">
        <v>247196.576</v>
      </c>
      <c r="D25" s="43">
        <v>264605.09000000003</v>
      </c>
      <c r="E25" s="42">
        <v>2311.7731699999999</v>
      </c>
      <c r="F25" s="43">
        <v>112440.209</v>
      </c>
      <c r="G25" s="42">
        <v>45430.142999999996</v>
      </c>
      <c r="H25" s="42">
        <v>32790.184999999998</v>
      </c>
      <c r="I25" s="43">
        <v>294807.90299999999</v>
      </c>
      <c r="J25" s="45">
        <v>80370.861000000004</v>
      </c>
      <c r="K25" s="43">
        <v>1776.088</v>
      </c>
      <c r="L25" s="42">
        <v>155116.49100000001</v>
      </c>
      <c r="M25" s="41">
        <f t="shared" si="0"/>
        <v>1236845.31917</v>
      </c>
    </row>
    <row r="26" spans="1:13" s="12" customFormat="1" ht="15.75" customHeight="1" x14ac:dyDescent="0.2">
      <c r="A26" s="35" t="s">
        <v>83</v>
      </c>
      <c r="B26" s="18" t="s">
        <v>135</v>
      </c>
      <c r="C26" s="42">
        <v>2934992.6069999998</v>
      </c>
      <c r="D26" s="43">
        <v>450000</v>
      </c>
      <c r="E26" s="42">
        <v>25754.168000000001</v>
      </c>
      <c r="F26" s="43">
        <v>656.7</v>
      </c>
      <c r="G26" s="42">
        <v>424175.44300000003</v>
      </c>
      <c r="H26" s="42">
        <v>9960</v>
      </c>
      <c r="I26" s="43">
        <v>273195</v>
      </c>
      <c r="J26" s="45">
        <v>0</v>
      </c>
      <c r="K26" s="43">
        <v>10750</v>
      </c>
      <c r="L26" s="42">
        <v>1607179.9439999999</v>
      </c>
      <c r="M26" s="41">
        <f t="shared" si="0"/>
        <v>5736663.8619999997</v>
      </c>
    </row>
    <row r="27" spans="1:13" s="12" customFormat="1" ht="15.75" customHeight="1" x14ac:dyDescent="0.2">
      <c r="A27" s="35" t="s">
        <v>84</v>
      </c>
      <c r="B27" s="18" t="s">
        <v>135</v>
      </c>
      <c r="C27" s="42">
        <v>1129735.9809999999</v>
      </c>
      <c r="D27" s="43">
        <v>261355.908</v>
      </c>
      <c r="E27" s="42">
        <v>20816.149000000001</v>
      </c>
      <c r="F27" s="43">
        <v>82200</v>
      </c>
      <c r="G27" s="42">
        <v>0</v>
      </c>
      <c r="H27" s="42">
        <v>0</v>
      </c>
      <c r="I27" s="42">
        <v>10000</v>
      </c>
      <c r="J27" s="45">
        <v>26098.580999999998</v>
      </c>
      <c r="K27" s="43">
        <v>25325.66</v>
      </c>
      <c r="L27" s="42">
        <v>507474.47700000001</v>
      </c>
      <c r="M27" s="41">
        <f t="shared" si="0"/>
        <v>2063006.7559999998</v>
      </c>
    </row>
    <row r="28" spans="1:13" s="12" customFormat="1" ht="16.5" customHeight="1" x14ac:dyDescent="0.2">
      <c r="A28" s="35" t="s">
        <v>85</v>
      </c>
      <c r="B28" s="18" t="s">
        <v>134</v>
      </c>
      <c r="C28" s="42">
        <v>70804.907999999996</v>
      </c>
      <c r="D28" s="43">
        <v>0</v>
      </c>
      <c r="E28" s="42">
        <v>0</v>
      </c>
      <c r="F28" s="43">
        <v>0</v>
      </c>
      <c r="G28" s="43">
        <v>0</v>
      </c>
      <c r="H28" s="43">
        <v>0</v>
      </c>
      <c r="I28" s="43">
        <v>0</v>
      </c>
      <c r="J28" s="45">
        <v>0</v>
      </c>
      <c r="K28" s="42">
        <v>0</v>
      </c>
      <c r="L28" s="42">
        <v>0</v>
      </c>
      <c r="M28" s="41">
        <f t="shared" si="0"/>
        <v>70804.907999999996</v>
      </c>
    </row>
    <row r="29" spans="1:13" s="12" customFormat="1" ht="16.5" customHeight="1" x14ac:dyDescent="0.2">
      <c r="A29" s="35" t="s">
        <v>86</v>
      </c>
      <c r="B29" s="18" t="s">
        <v>134</v>
      </c>
      <c r="C29" s="42">
        <v>342.89</v>
      </c>
      <c r="D29" s="43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4">
        <v>0</v>
      </c>
      <c r="K29" s="43">
        <v>0</v>
      </c>
      <c r="L29" s="42">
        <v>0</v>
      </c>
      <c r="M29" s="41">
        <f t="shared" si="0"/>
        <v>342.89</v>
      </c>
    </row>
    <row r="30" spans="1:13" s="12" customFormat="1" ht="16.5" customHeight="1" x14ac:dyDescent="0.2">
      <c r="A30" s="35" t="s">
        <v>87</v>
      </c>
      <c r="B30" s="18" t="s">
        <v>134</v>
      </c>
      <c r="C30" s="43">
        <v>9423.2420000000002</v>
      </c>
      <c r="D30" s="43">
        <v>19722.030999999999</v>
      </c>
      <c r="E30" s="42">
        <v>364.95499999999998</v>
      </c>
      <c r="F30" s="42">
        <v>5858.4449999999997</v>
      </c>
      <c r="G30" s="46">
        <v>9843.4410000000007</v>
      </c>
      <c r="H30" s="42">
        <v>602.28300000000002</v>
      </c>
      <c r="I30" s="42">
        <v>15905.007</v>
      </c>
      <c r="J30" s="44">
        <v>0</v>
      </c>
      <c r="K30" s="43">
        <v>0</v>
      </c>
      <c r="L30" s="42">
        <v>1064.5150000000001</v>
      </c>
      <c r="M30" s="41">
        <f t="shared" si="0"/>
        <v>62783.919000000002</v>
      </c>
    </row>
    <row r="31" spans="1:13" s="12" customFormat="1" ht="16.5" customHeight="1" x14ac:dyDescent="0.2">
      <c r="A31" s="35" t="s">
        <v>88</v>
      </c>
      <c r="B31" s="18" t="s">
        <v>134</v>
      </c>
      <c r="C31" s="42">
        <v>2340.4699999999998</v>
      </c>
      <c r="D31" s="42">
        <v>5356.1009999999997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4">
        <v>2097.4110000000001</v>
      </c>
      <c r="K31" s="42">
        <v>0</v>
      </c>
      <c r="L31" s="42">
        <v>70044.106</v>
      </c>
      <c r="M31" s="41">
        <f t="shared" si="0"/>
        <v>79838.088000000003</v>
      </c>
    </row>
    <row r="32" spans="1:13" s="12" customFormat="1" ht="16.5" customHeight="1" x14ac:dyDescent="0.2">
      <c r="A32" s="35" t="s">
        <v>89</v>
      </c>
      <c r="B32" s="18" t="s">
        <v>134</v>
      </c>
      <c r="C32" s="42">
        <v>16809.625</v>
      </c>
      <c r="D32" s="43">
        <v>563361.70400000003</v>
      </c>
      <c r="E32" s="42">
        <v>0</v>
      </c>
      <c r="F32" s="42">
        <v>10857.137000000001</v>
      </c>
      <c r="G32" s="42">
        <v>0</v>
      </c>
      <c r="H32" s="42">
        <v>0</v>
      </c>
      <c r="I32" s="43">
        <v>0</v>
      </c>
      <c r="J32" s="45">
        <v>0</v>
      </c>
      <c r="K32" s="43">
        <v>0</v>
      </c>
      <c r="L32" s="42">
        <v>150918.10800000001</v>
      </c>
      <c r="M32" s="41">
        <f t="shared" si="0"/>
        <v>741946.57400000002</v>
      </c>
    </row>
    <row r="33" spans="1:13" s="12" customFormat="1" ht="16.5" customHeight="1" x14ac:dyDescent="0.2">
      <c r="A33" s="35" t="s">
        <v>90</v>
      </c>
      <c r="B33" s="18" t="s">
        <v>134</v>
      </c>
      <c r="C33" s="42">
        <v>356504.82</v>
      </c>
      <c r="D33" s="42">
        <v>253765.57199999999</v>
      </c>
      <c r="E33" s="42">
        <v>0</v>
      </c>
      <c r="F33" s="43">
        <v>7077.5540000000001</v>
      </c>
      <c r="G33" s="42">
        <v>31101.743999999999</v>
      </c>
      <c r="H33" s="42">
        <v>4615.8770000000004</v>
      </c>
      <c r="I33" s="42">
        <v>5193.4139999999998</v>
      </c>
      <c r="J33" s="45">
        <v>51390.832999999999</v>
      </c>
      <c r="K33" s="42">
        <v>913.61400000000003</v>
      </c>
      <c r="L33" s="42">
        <v>1036.0160000000001</v>
      </c>
      <c r="M33" s="41">
        <f t="shared" si="0"/>
        <v>711599.44399999978</v>
      </c>
    </row>
    <row r="34" spans="1:13" s="12" customFormat="1" ht="16.5" customHeight="1" x14ac:dyDescent="0.2">
      <c r="A34" s="35" t="s">
        <v>91</v>
      </c>
      <c r="B34" s="18" t="s">
        <v>41</v>
      </c>
      <c r="C34" s="47">
        <v>0</v>
      </c>
      <c r="D34" s="47">
        <v>0</v>
      </c>
      <c r="E34" s="47">
        <v>4523.5940000000001</v>
      </c>
      <c r="F34" s="48">
        <v>0</v>
      </c>
      <c r="G34" s="47">
        <v>65016.718999999997</v>
      </c>
      <c r="H34" s="47">
        <v>0</v>
      </c>
      <c r="I34" s="47">
        <v>269432.68</v>
      </c>
      <c r="J34" s="49">
        <v>0</v>
      </c>
      <c r="K34" s="47">
        <v>0</v>
      </c>
      <c r="L34" s="42">
        <v>474359.837</v>
      </c>
      <c r="M34" s="41">
        <f t="shared" si="0"/>
        <v>813332.83000000007</v>
      </c>
    </row>
    <row r="35" spans="1:13" s="12" customFormat="1" ht="5.25" customHeight="1" x14ac:dyDescent="0.2">
      <c r="A35" s="50"/>
      <c r="B35" s="171"/>
      <c r="C35" s="51"/>
      <c r="D35" s="51"/>
      <c r="E35" s="51"/>
      <c r="F35" s="52"/>
      <c r="G35" s="51"/>
      <c r="H35" s="51"/>
      <c r="I35" s="53"/>
      <c r="J35" s="54"/>
      <c r="K35" s="54"/>
      <c r="L35" s="53"/>
      <c r="M35" s="55"/>
    </row>
    <row r="36" spans="1:13" s="12" customFormat="1" ht="16.5" customHeight="1" x14ac:dyDescent="0.2">
      <c r="A36" s="56" t="s">
        <v>13</v>
      </c>
      <c r="B36" s="172"/>
      <c r="C36" s="57">
        <f>SUM(C5:C35)</f>
        <v>29542274.787719999</v>
      </c>
      <c r="D36" s="57">
        <f t="shared" ref="D36:L36" si="1">SUM(D5:D35)</f>
        <v>30289155.150000002</v>
      </c>
      <c r="E36" s="57">
        <f t="shared" si="1"/>
        <v>84016.082169999994</v>
      </c>
      <c r="F36" s="57">
        <f t="shared" si="1"/>
        <v>1203745.9260000002</v>
      </c>
      <c r="G36" s="57">
        <f t="shared" si="1"/>
        <v>6206494.1809999999</v>
      </c>
      <c r="H36" s="57">
        <f t="shared" si="1"/>
        <v>64506.014000000003</v>
      </c>
      <c r="I36" s="57">
        <f t="shared" si="1"/>
        <v>3245305.9079999998</v>
      </c>
      <c r="J36" s="57">
        <f t="shared" si="1"/>
        <v>702411.41999999993</v>
      </c>
      <c r="K36" s="57">
        <f t="shared" si="1"/>
        <v>59205.462</v>
      </c>
      <c r="L36" s="57">
        <f t="shared" si="1"/>
        <v>12828288.429000001</v>
      </c>
      <c r="M36" s="58">
        <f>SUM(C36:L36)</f>
        <v>84225403.359889999</v>
      </c>
    </row>
    <row r="37" spans="1:13" ht="6.75" customHeight="1" x14ac:dyDescent="0.2"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</row>
    <row r="38" spans="1:13" ht="18" customHeight="1" x14ac:dyDescent="0.2">
      <c r="A38" s="27" t="s">
        <v>123</v>
      </c>
      <c r="B38" s="27"/>
      <c r="C38" s="62"/>
      <c r="D38" s="62"/>
      <c r="E38" s="62"/>
      <c r="F38" s="62"/>
      <c r="G38" s="63"/>
      <c r="H38" s="64"/>
      <c r="I38" s="65"/>
      <c r="J38" s="65"/>
      <c r="K38" s="66"/>
      <c r="L38" s="67"/>
      <c r="M38" s="68"/>
    </row>
    <row r="41" spans="1:13" hidden="1" x14ac:dyDescent="0.2">
      <c r="M41" s="69">
        <v>474359.837</v>
      </c>
    </row>
    <row r="42" spans="1:13" hidden="1" x14ac:dyDescent="0.2">
      <c r="M42" s="180">
        <v>22202500</v>
      </c>
    </row>
  </sheetData>
  <mergeCells count="2">
    <mergeCell ref="A1:M1"/>
    <mergeCell ref="A2:M2"/>
  </mergeCells>
  <printOptions horizontalCentered="1"/>
  <pageMargins left="0.5" right="0.5" top="0.66" bottom="0.5" header="0.25" footer="0.25"/>
  <pageSetup paperSize="9" scale="4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workbookViewId="0">
      <pane xSplit="1" ySplit="4" topLeftCell="C5" activePane="bottomRight" state="frozen"/>
      <selection activeCell="I1" sqref="I1"/>
      <selection pane="topRight" activeCell="I1" sqref="I1"/>
      <selection pane="bottomLeft" activeCell="I1" sqref="I1"/>
      <selection pane="bottomRight" activeCell="F41" sqref="F41"/>
    </sheetView>
  </sheetViews>
  <sheetFormatPr defaultRowHeight="12.75" x14ac:dyDescent="0.2"/>
  <cols>
    <col min="1" max="1" width="31.7109375" style="59" customWidth="1"/>
    <col min="2" max="2" width="31.7109375" style="59" hidden="1" customWidth="1"/>
    <col min="3" max="3" width="12.5703125" style="69" customWidth="1"/>
    <col min="4" max="4" width="12.42578125" style="69" customWidth="1"/>
    <col min="5" max="7" width="12.5703125" style="69" customWidth="1"/>
    <col min="8" max="9" width="12.5703125" style="70" customWidth="1"/>
    <col min="10" max="11" width="12.5703125" style="69" customWidth="1"/>
    <col min="12" max="12" width="12.42578125" style="69" customWidth="1"/>
    <col min="13" max="13" width="13.5703125" style="69" customWidth="1"/>
    <col min="14" max="253" width="9.140625" style="13"/>
    <col min="254" max="254" width="33.85546875" style="13" customWidth="1"/>
    <col min="255" max="255" width="12.5703125" style="13" customWidth="1"/>
    <col min="256" max="256" width="12.42578125" style="13" customWidth="1"/>
    <col min="257" max="257" width="0" style="13" hidden="1" customWidth="1"/>
    <col min="258" max="263" width="12.5703125" style="13" customWidth="1"/>
    <col min="264" max="264" width="0" style="13" hidden="1" customWidth="1"/>
    <col min="265" max="265" width="12.5703125" style="13" customWidth="1"/>
    <col min="266" max="266" width="12.42578125" style="13" customWidth="1"/>
    <col min="267" max="267" width="0" style="13" hidden="1" customWidth="1"/>
    <col min="268" max="268" width="13.5703125" style="13" customWidth="1"/>
    <col min="269" max="509" width="9.140625" style="13"/>
    <col min="510" max="510" width="33.85546875" style="13" customWidth="1"/>
    <col min="511" max="511" width="12.5703125" style="13" customWidth="1"/>
    <col min="512" max="512" width="12.42578125" style="13" customWidth="1"/>
    <col min="513" max="513" width="0" style="13" hidden="1" customWidth="1"/>
    <col min="514" max="519" width="12.5703125" style="13" customWidth="1"/>
    <col min="520" max="520" width="0" style="13" hidden="1" customWidth="1"/>
    <col min="521" max="521" width="12.5703125" style="13" customWidth="1"/>
    <col min="522" max="522" width="12.42578125" style="13" customWidth="1"/>
    <col min="523" max="523" width="0" style="13" hidden="1" customWidth="1"/>
    <col min="524" max="524" width="13.5703125" style="13" customWidth="1"/>
    <col min="525" max="765" width="9.140625" style="13"/>
    <col min="766" max="766" width="33.85546875" style="13" customWidth="1"/>
    <col min="767" max="767" width="12.5703125" style="13" customWidth="1"/>
    <col min="768" max="768" width="12.42578125" style="13" customWidth="1"/>
    <col min="769" max="769" width="0" style="13" hidden="1" customWidth="1"/>
    <col min="770" max="775" width="12.5703125" style="13" customWidth="1"/>
    <col min="776" max="776" width="0" style="13" hidden="1" customWidth="1"/>
    <col min="777" max="777" width="12.5703125" style="13" customWidth="1"/>
    <col min="778" max="778" width="12.42578125" style="13" customWidth="1"/>
    <col min="779" max="779" width="0" style="13" hidden="1" customWidth="1"/>
    <col min="780" max="780" width="13.5703125" style="13" customWidth="1"/>
    <col min="781" max="1021" width="9.140625" style="13"/>
    <col min="1022" max="1022" width="33.85546875" style="13" customWidth="1"/>
    <col min="1023" max="1023" width="12.5703125" style="13" customWidth="1"/>
    <col min="1024" max="1024" width="12.42578125" style="13" customWidth="1"/>
    <col min="1025" max="1025" width="0" style="13" hidden="1" customWidth="1"/>
    <col min="1026" max="1031" width="12.5703125" style="13" customWidth="1"/>
    <col min="1032" max="1032" width="0" style="13" hidden="1" customWidth="1"/>
    <col min="1033" max="1033" width="12.5703125" style="13" customWidth="1"/>
    <col min="1034" max="1034" width="12.42578125" style="13" customWidth="1"/>
    <col min="1035" max="1035" width="0" style="13" hidden="1" customWidth="1"/>
    <col min="1036" max="1036" width="13.5703125" style="13" customWidth="1"/>
    <col min="1037" max="1277" width="9.140625" style="13"/>
    <col min="1278" max="1278" width="33.85546875" style="13" customWidth="1"/>
    <col min="1279" max="1279" width="12.5703125" style="13" customWidth="1"/>
    <col min="1280" max="1280" width="12.42578125" style="13" customWidth="1"/>
    <col min="1281" max="1281" width="0" style="13" hidden="1" customWidth="1"/>
    <col min="1282" max="1287" width="12.5703125" style="13" customWidth="1"/>
    <col min="1288" max="1288" width="0" style="13" hidden="1" customWidth="1"/>
    <col min="1289" max="1289" width="12.5703125" style="13" customWidth="1"/>
    <col min="1290" max="1290" width="12.42578125" style="13" customWidth="1"/>
    <col min="1291" max="1291" width="0" style="13" hidden="1" customWidth="1"/>
    <col min="1292" max="1292" width="13.5703125" style="13" customWidth="1"/>
    <col min="1293" max="1533" width="9.140625" style="13"/>
    <col min="1534" max="1534" width="33.85546875" style="13" customWidth="1"/>
    <col min="1535" max="1535" width="12.5703125" style="13" customWidth="1"/>
    <col min="1536" max="1536" width="12.42578125" style="13" customWidth="1"/>
    <col min="1537" max="1537" width="0" style="13" hidden="1" customWidth="1"/>
    <col min="1538" max="1543" width="12.5703125" style="13" customWidth="1"/>
    <col min="1544" max="1544" width="0" style="13" hidden="1" customWidth="1"/>
    <col min="1545" max="1545" width="12.5703125" style="13" customWidth="1"/>
    <col min="1546" max="1546" width="12.42578125" style="13" customWidth="1"/>
    <col min="1547" max="1547" width="0" style="13" hidden="1" customWidth="1"/>
    <col min="1548" max="1548" width="13.5703125" style="13" customWidth="1"/>
    <col min="1549" max="1789" width="9.140625" style="13"/>
    <col min="1790" max="1790" width="33.85546875" style="13" customWidth="1"/>
    <col min="1791" max="1791" width="12.5703125" style="13" customWidth="1"/>
    <col min="1792" max="1792" width="12.42578125" style="13" customWidth="1"/>
    <col min="1793" max="1793" width="0" style="13" hidden="1" customWidth="1"/>
    <col min="1794" max="1799" width="12.5703125" style="13" customWidth="1"/>
    <col min="1800" max="1800" width="0" style="13" hidden="1" customWidth="1"/>
    <col min="1801" max="1801" width="12.5703125" style="13" customWidth="1"/>
    <col min="1802" max="1802" width="12.42578125" style="13" customWidth="1"/>
    <col min="1803" max="1803" width="0" style="13" hidden="1" customWidth="1"/>
    <col min="1804" max="1804" width="13.5703125" style="13" customWidth="1"/>
    <col min="1805" max="2045" width="9.140625" style="13"/>
    <col min="2046" max="2046" width="33.85546875" style="13" customWidth="1"/>
    <col min="2047" max="2047" width="12.5703125" style="13" customWidth="1"/>
    <col min="2048" max="2048" width="12.42578125" style="13" customWidth="1"/>
    <col min="2049" max="2049" width="0" style="13" hidden="1" customWidth="1"/>
    <col min="2050" max="2055" width="12.5703125" style="13" customWidth="1"/>
    <col min="2056" max="2056" width="0" style="13" hidden="1" customWidth="1"/>
    <col min="2057" max="2057" width="12.5703125" style="13" customWidth="1"/>
    <col min="2058" max="2058" width="12.42578125" style="13" customWidth="1"/>
    <col min="2059" max="2059" width="0" style="13" hidden="1" customWidth="1"/>
    <col min="2060" max="2060" width="13.5703125" style="13" customWidth="1"/>
    <col min="2061" max="2301" width="9.140625" style="13"/>
    <col min="2302" max="2302" width="33.85546875" style="13" customWidth="1"/>
    <col min="2303" max="2303" width="12.5703125" style="13" customWidth="1"/>
    <col min="2304" max="2304" width="12.42578125" style="13" customWidth="1"/>
    <col min="2305" max="2305" width="0" style="13" hidden="1" customWidth="1"/>
    <col min="2306" max="2311" width="12.5703125" style="13" customWidth="1"/>
    <col min="2312" max="2312" width="0" style="13" hidden="1" customWidth="1"/>
    <col min="2313" max="2313" width="12.5703125" style="13" customWidth="1"/>
    <col min="2314" max="2314" width="12.42578125" style="13" customWidth="1"/>
    <col min="2315" max="2315" width="0" style="13" hidden="1" customWidth="1"/>
    <col min="2316" max="2316" width="13.5703125" style="13" customWidth="1"/>
    <col min="2317" max="2557" width="9.140625" style="13"/>
    <col min="2558" max="2558" width="33.85546875" style="13" customWidth="1"/>
    <col min="2559" max="2559" width="12.5703125" style="13" customWidth="1"/>
    <col min="2560" max="2560" width="12.42578125" style="13" customWidth="1"/>
    <col min="2561" max="2561" width="0" style="13" hidden="1" customWidth="1"/>
    <col min="2562" max="2567" width="12.5703125" style="13" customWidth="1"/>
    <col min="2568" max="2568" width="0" style="13" hidden="1" customWidth="1"/>
    <col min="2569" max="2569" width="12.5703125" style="13" customWidth="1"/>
    <col min="2570" max="2570" width="12.42578125" style="13" customWidth="1"/>
    <col min="2571" max="2571" width="0" style="13" hidden="1" customWidth="1"/>
    <col min="2572" max="2572" width="13.5703125" style="13" customWidth="1"/>
    <col min="2573" max="2813" width="9.140625" style="13"/>
    <col min="2814" max="2814" width="33.85546875" style="13" customWidth="1"/>
    <col min="2815" max="2815" width="12.5703125" style="13" customWidth="1"/>
    <col min="2816" max="2816" width="12.42578125" style="13" customWidth="1"/>
    <col min="2817" max="2817" width="0" style="13" hidden="1" customWidth="1"/>
    <col min="2818" max="2823" width="12.5703125" style="13" customWidth="1"/>
    <col min="2824" max="2824" width="0" style="13" hidden="1" customWidth="1"/>
    <col min="2825" max="2825" width="12.5703125" style="13" customWidth="1"/>
    <col min="2826" max="2826" width="12.42578125" style="13" customWidth="1"/>
    <col min="2827" max="2827" width="0" style="13" hidden="1" customWidth="1"/>
    <col min="2828" max="2828" width="13.5703125" style="13" customWidth="1"/>
    <col min="2829" max="3069" width="9.140625" style="13"/>
    <col min="3070" max="3070" width="33.85546875" style="13" customWidth="1"/>
    <col min="3071" max="3071" width="12.5703125" style="13" customWidth="1"/>
    <col min="3072" max="3072" width="12.42578125" style="13" customWidth="1"/>
    <col min="3073" max="3073" width="0" style="13" hidden="1" customWidth="1"/>
    <col min="3074" max="3079" width="12.5703125" style="13" customWidth="1"/>
    <col min="3080" max="3080" width="0" style="13" hidden="1" customWidth="1"/>
    <col min="3081" max="3081" width="12.5703125" style="13" customWidth="1"/>
    <col min="3082" max="3082" width="12.42578125" style="13" customWidth="1"/>
    <col min="3083" max="3083" width="0" style="13" hidden="1" customWidth="1"/>
    <col min="3084" max="3084" width="13.5703125" style="13" customWidth="1"/>
    <col min="3085" max="3325" width="9.140625" style="13"/>
    <col min="3326" max="3326" width="33.85546875" style="13" customWidth="1"/>
    <col min="3327" max="3327" width="12.5703125" style="13" customWidth="1"/>
    <col min="3328" max="3328" width="12.42578125" style="13" customWidth="1"/>
    <col min="3329" max="3329" width="0" style="13" hidden="1" customWidth="1"/>
    <col min="3330" max="3335" width="12.5703125" style="13" customWidth="1"/>
    <col min="3336" max="3336" width="0" style="13" hidden="1" customWidth="1"/>
    <col min="3337" max="3337" width="12.5703125" style="13" customWidth="1"/>
    <col min="3338" max="3338" width="12.42578125" style="13" customWidth="1"/>
    <col min="3339" max="3339" width="0" style="13" hidden="1" customWidth="1"/>
    <col min="3340" max="3340" width="13.5703125" style="13" customWidth="1"/>
    <col min="3341" max="3581" width="9.140625" style="13"/>
    <col min="3582" max="3582" width="33.85546875" style="13" customWidth="1"/>
    <col min="3583" max="3583" width="12.5703125" style="13" customWidth="1"/>
    <col min="3584" max="3584" width="12.42578125" style="13" customWidth="1"/>
    <col min="3585" max="3585" width="0" style="13" hidden="1" customWidth="1"/>
    <col min="3586" max="3591" width="12.5703125" style="13" customWidth="1"/>
    <col min="3592" max="3592" width="0" style="13" hidden="1" customWidth="1"/>
    <col min="3593" max="3593" width="12.5703125" style="13" customWidth="1"/>
    <col min="3594" max="3594" width="12.42578125" style="13" customWidth="1"/>
    <col min="3595" max="3595" width="0" style="13" hidden="1" customWidth="1"/>
    <col min="3596" max="3596" width="13.5703125" style="13" customWidth="1"/>
    <col min="3597" max="3837" width="9.140625" style="13"/>
    <col min="3838" max="3838" width="33.85546875" style="13" customWidth="1"/>
    <col min="3839" max="3839" width="12.5703125" style="13" customWidth="1"/>
    <col min="3840" max="3840" width="12.42578125" style="13" customWidth="1"/>
    <col min="3841" max="3841" width="0" style="13" hidden="1" customWidth="1"/>
    <col min="3842" max="3847" width="12.5703125" style="13" customWidth="1"/>
    <col min="3848" max="3848" width="0" style="13" hidden="1" customWidth="1"/>
    <col min="3849" max="3849" width="12.5703125" style="13" customWidth="1"/>
    <col min="3850" max="3850" width="12.42578125" style="13" customWidth="1"/>
    <col min="3851" max="3851" width="0" style="13" hidden="1" customWidth="1"/>
    <col min="3852" max="3852" width="13.5703125" style="13" customWidth="1"/>
    <col min="3853" max="4093" width="9.140625" style="13"/>
    <col min="4094" max="4094" width="33.85546875" style="13" customWidth="1"/>
    <col min="4095" max="4095" width="12.5703125" style="13" customWidth="1"/>
    <col min="4096" max="4096" width="12.42578125" style="13" customWidth="1"/>
    <col min="4097" max="4097" width="0" style="13" hidden="1" customWidth="1"/>
    <col min="4098" max="4103" width="12.5703125" style="13" customWidth="1"/>
    <col min="4104" max="4104" width="0" style="13" hidden="1" customWidth="1"/>
    <col min="4105" max="4105" width="12.5703125" style="13" customWidth="1"/>
    <col min="4106" max="4106" width="12.42578125" style="13" customWidth="1"/>
    <col min="4107" max="4107" width="0" style="13" hidden="1" customWidth="1"/>
    <col min="4108" max="4108" width="13.5703125" style="13" customWidth="1"/>
    <col min="4109" max="4349" width="9.140625" style="13"/>
    <col min="4350" max="4350" width="33.85546875" style="13" customWidth="1"/>
    <col min="4351" max="4351" width="12.5703125" style="13" customWidth="1"/>
    <col min="4352" max="4352" width="12.42578125" style="13" customWidth="1"/>
    <col min="4353" max="4353" width="0" style="13" hidden="1" customWidth="1"/>
    <col min="4354" max="4359" width="12.5703125" style="13" customWidth="1"/>
    <col min="4360" max="4360" width="0" style="13" hidden="1" customWidth="1"/>
    <col min="4361" max="4361" width="12.5703125" style="13" customWidth="1"/>
    <col min="4362" max="4362" width="12.42578125" style="13" customWidth="1"/>
    <col min="4363" max="4363" width="0" style="13" hidden="1" customWidth="1"/>
    <col min="4364" max="4364" width="13.5703125" style="13" customWidth="1"/>
    <col min="4365" max="4605" width="9.140625" style="13"/>
    <col min="4606" max="4606" width="33.85546875" style="13" customWidth="1"/>
    <col min="4607" max="4607" width="12.5703125" style="13" customWidth="1"/>
    <col min="4608" max="4608" width="12.42578125" style="13" customWidth="1"/>
    <col min="4609" max="4609" width="0" style="13" hidden="1" customWidth="1"/>
    <col min="4610" max="4615" width="12.5703125" style="13" customWidth="1"/>
    <col min="4616" max="4616" width="0" style="13" hidden="1" customWidth="1"/>
    <col min="4617" max="4617" width="12.5703125" style="13" customWidth="1"/>
    <col min="4618" max="4618" width="12.42578125" style="13" customWidth="1"/>
    <col min="4619" max="4619" width="0" style="13" hidden="1" customWidth="1"/>
    <col min="4620" max="4620" width="13.5703125" style="13" customWidth="1"/>
    <col min="4621" max="4861" width="9.140625" style="13"/>
    <col min="4862" max="4862" width="33.85546875" style="13" customWidth="1"/>
    <col min="4863" max="4863" width="12.5703125" style="13" customWidth="1"/>
    <col min="4864" max="4864" width="12.42578125" style="13" customWidth="1"/>
    <col min="4865" max="4865" width="0" style="13" hidden="1" customWidth="1"/>
    <col min="4866" max="4871" width="12.5703125" style="13" customWidth="1"/>
    <col min="4872" max="4872" width="0" style="13" hidden="1" customWidth="1"/>
    <col min="4873" max="4873" width="12.5703125" style="13" customWidth="1"/>
    <col min="4874" max="4874" width="12.42578125" style="13" customWidth="1"/>
    <col min="4875" max="4875" width="0" style="13" hidden="1" customWidth="1"/>
    <col min="4876" max="4876" width="13.5703125" style="13" customWidth="1"/>
    <col min="4877" max="5117" width="9.140625" style="13"/>
    <col min="5118" max="5118" width="33.85546875" style="13" customWidth="1"/>
    <col min="5119" max="5119" width="12.5703125" style="13" customWidth="1"/>
    <col min="5120" max="5120" width="12.42578125" style="13" customWidth="1"/>
    <col min="5121" max="5121" width="0" style="13" hidden="1" customWidth="1"/>
    <col min="5122" max="5127" width="12.5703125" style="13" customWidth="1"/>
    <col min="5128" max="5128" width="0" style="13" hidden="1" customWidth="1"/>
    <col min="5129" max="5129" width="12.5703125" style="13" customWidth="1"/>
    <col min="5130" max="5130" width="12.42578125" style="13" customWidth="1"/>
    <col min="5131" max="5131" width="0" style="13" hidden="1" customWidth="1"/>
    <col min="5132" max="5132" width="13.5703125" style="13" customWidth="1"/>
    <col min="5133" max="5373" width="9.140625" style="13"/>
    <col min="5374" max="5374" width="33.85546875" style="13" customWidth="1"/>
    <col min="5375" max="5375" width="12.5703125" style="13" customWidth="1"/>
    <col min="5376" max="5376" width="12.42578125" style="13" customWidth="1"/>
    <col min="5377" max="5377" width="0" style="13" hidden="1" customWidth="1"/>
    <col min="5378" max="5383" width="12.5703125" style="13" customWidth="1"/>
    <col min="5384" max="5384" width="0" style="13" hidden="1" customWidth="1"/>
    <col min="5385" max="5385" width="12.5703125" style="13" customWidth="1"/>
    <col min="5386" max="5386" width="12.42578125" style="13" customWidth="1"/>
    <col min="5387" max="5387" width="0" style="13" hidden="1" customWidth="1"/>
    <col min="5388" max="5388" width="13.5703125" style="13" customWidth="1"/>
    <col min="5389" max="5629" width="9.140625" style="13"/>
    <col min="5630" max="5630" width="33.85546875" style="13" customWidth="1"/>
    <col min="5631" max="5631" width="12.5703125" style="13" customWidth="1"/>
    <col min="5632" max="5632" width="12.42578125" style="13" customWidth="1"/>
    <col min="5633" max="5633" width="0" style="13" hidden="1" customWidth="1"/>
    <col min="5634" max="5639" width="12.5703125" style="13" customWidth="1"/>
    <col min="5640" max="5640" width="0" style="13" hidden="1" customWidth="1"/>
    <col min="5641" max="5641" width="12.5703125" style="13" customWidth="1"/>
    <col min="5642" max="5642" width="12.42578125" style="13" customWidth="1"/>
    <col min="5643" max="5643" width="0" style="13" hidden="1" customWidth="1"/>
    <col min="5644" max="5644" width="13.5703125" style="13" customWidth="1"/>
    <col min="5645" max="5885" width="9.140625" style="13"/>
    <col min="5886" max="5886" width="33.85546875" style="13" customWidth="1"/>
    <col min="5887" max="5887" width="12.5703125" style="13" customWidth="1"/>
    <col min="5888" max="5888" width="12.42578125" style="13" customWidth="1"/>
    <col min="5889" max="5889" width="0" style="13" hidden="1" customWidth="1"/>
    <col min="5890" max="5895" width="12.5703125" style="13" customWidth="1"/>
    <col min="5896" max="5896" width="0" style="13" hidden="1" customWidth="1"/>
    <col min="5897" max="5897" width="12.5703125" style="13" customWidth="1"/>
    <col min="5898" max="5898" width="12.42578125" style="13" customWidth="1"/>
    <col min="5899" max="5899" width="0" style="13" hidden="1" customWidth="1"/>
    <col min="5900" max="5900" width="13.5703125" style="13" customWidth="1"/>
    <col min="5901" max="6141" width="9.140625" style="13"/>
    <col min="6142" max="6142" width="33.85546875" style="13" customWidth="1"/>
    <col min="6143" max="6143" width="12.5703125" style="13" customWidth="1"/>
    <col min="6144" max="6144" width="12.42578125" style="13" customWidth="1"/>
    <col min="6145" max="6145" width="0" style="13" hidden="1" customWidth="1"/>
    <col min="6146" max="6151" width="12.5703125" style="13" customWidth="1"/>
    <col min="6152" max="6152" width="0" style="13" hidden="1" customWidth="1"/>
    <col min="6153" max="6153" width="12.5703125" style="13" customWidth="1"/>
    <col min="6154" max="6154" width="12.42578125" style="13" customWidth="1"/>
    <col min="6155" max="6155" width="0" style="13" hidden="1" customWidth="1"/>
    <col min="6156" max="6156" width="13.5703125" style="13" customWidth="1"/>
    <col min="6157" max="6397" width="9.140625" style="13"/>
    <col min="6398" max="6398" width="33.85546875" style="13" customWidth="1"/>
    <col min="6399" max="6399" width="12.5703125" style="13" customWidth="1"/>
    <col min="6400" max="6400" width="12.42578125" style="13" customWidth="1"/>
    <col min="6401" max="6401" width="0" style="13" hidden="1" customWidth="1"/>
    <col min="6402" max="6407" width="12.5703125" style="13" customWidth="1"/>
    <col min="6408" max="6408" width="0" style="13" hidden="1" customWidth="1"/>
    <col min="6409" max="6409" width="12.5703125" style="13" customWidth="1"/>
    <col min="6410" max="6410" width="12.42578125" style="13" customWidth="1"/>
    <col min="6411" max="6411" width="0" style="13" hidden="1" customWidth="1"/>
    <col min="6412" max="6412" width="13.5703125" style="13" customWidth="1"/>
    <col min="6413" max="6653" width="9.140625" style="13"/>
    <col min="6654" max="6654" width="33.85546875" style="13" customWidth="1"/>
    <col min="6655" max="6655" width="12.5703125" style="13" customWidth="1"/>
    <col min="6656" max="6656" width="12.42578125" style="13" customWidth="1"/>
    <col min="6657" max="6657" width="0" style="13" hidden="1" customWidth="1"/>
    <col min="6658" max="6663" width="12.5703125" style="13" customWidth="1"/>
    <col min="6664" max="6664" width="0" style="13" hidden="1" customWidth="1"/>
    <col min="6665" max="6665" width="12.5703125" style="13" customWidth="1"/>
    <col min="6666" max="6666" width="12.42578125" style="13" customWidth="1"/>
    <col min="6667" max="6667" width="0" style="13" hidden="1" customWidth="1"/>
    <col min="6668" max="6668" width="13.5703125" style="13" customWidth="1"/>
    <col min="6669" max="6909" width="9.140625" style="13"/>
    <col min="6910" max="6910" width="33.85546875" style="13" customWidth="1"/>
    <col min="6911" max="6911" width="12.5703125" style="13" customWidth="1"/>
    <col min="6912" max="6912" width="12.42578125" style="13" customWidth="1"/>
    <col min="6913" max="6913" width="0" style="13" hidden="1" customWidth="1"/>
    <col min="6914" max="6919" width="12.5703125" style="13" customWidth="1"/>
    <col min="6920" max="6920" width="0" style="13" hidden="1" customWidth="1"/>
    <col min="6921" max="6921" width="12.5703125" style="13" customWidth="1"/>
    <col min="6922" max="6922" width="12.42578125" style="13" customWidth="1"/>
    <col min="6923" max="6923" width="0" style="13" hidden="1" customWidth="1"/>
    <col min="6924" max="6924" width="13.5703125" style="13" customWidth="1"/>
    <col min="6925" max="7165" width="9.140625" style="13"/>
    <col min="7166" max="7166" width="33.85546875" style="13" customWidth="1"/>
    <col min="7167" max="7167" width="12.5703125" style="13" customWidth="1"/>
    <col min="7168" max="7168" width="12.42578125" style="13" customWidth="1"/>
    <col min="7169" max="7169" width="0" style="13" hidden="1" customWidth="1"/>
    <col min="7170" max="7175" width="12.5703125" style="13" customWidth="1"/>
    <col min="7176" max="7176" width="0" style="13" hidden="1" customWidth="1"/>
    <col min="7177" max="7177" width="12.5703125" style="13" customWidth="1"/>
    <col min="7178" max="7178" width="12.42578125" style="13" customWidth="1"/>
    <col min="7179" max="7179" width="0" style="13" hidden="1" customWidth="1"/>
    <col min="7180" max="7180" width="13.5703125" style="13" customWidth="1"/>
    <col min="7181" max="7421" width="9.140625" style="13"/>
    <col min="7422" max="7422" width="33.85546875" style="13" customWidth="1"/>
    <col min="7423" max="7423" width="12.5703125" style="13" customWidth="1"/>
    <col min="7424" max="7424" width="12.42578125" style="13" customWidth="1"/>
    <col min="7425" max="7425" width="0" style="13" hidden="1" customWidth="1"/>
    <col min="7426" max="7431" width="12.5703125" style="13" customWidth="1"/>
    <col min="7432" max="7432" width="0" style="13" hidden="1" customWidth="1"/>
    <col min="7433" max="7433" width="12.5703125" style="13" customWidth="1"/>
    <col min="7434" max="7434" width="12.42578125" style="13" customWidth="1"/>
    <col min="7435" max="7435" width="0" style="13" hidden="1" customWidth="1"/>
    <col min="7436" max="7436" width="13.5703125" style="13" customWidth="1"/>
    <col min="7437" max="7677" width="9.140625" style="13"/>
    <col min="7678" max="7678" width="33.85546875" style="13" customWidth="1"/>
    <col min="7679" max="7679" width="12.5703125" style="13" customWidth="1"/>
    <col min="7680" max="7680" width="12.42578125" style="13" customWidth="1"/>
    <col min="7681" max="7681" width="0" style="13" hidden="1" customWidth="1"/>
    <col min="7682" max="7687" width="12.5703125" style="13" customWidth="1"/>
    <col min="7688" max="7688" width="0" style="13" hidden="1" customWidth="1"/>
    <col min="7689" max="7689" width="12.5703125" style="13" customWidth="1"/>
    <col min="7690" max="7690" width="12.42578125" style="13" customWidth="1"/>
    <col min="7691" max="7691" width="0" style="13" hidden="1" customWidth="1"/>
    <col min="7692" max="7692" width="13.5703125" style="13" customWidth="1"/>
    <col min="7693" max="7933" width="9.140625" style="13"/>
    <col min="7934" max="7934" width="33.85546875" style="13" customWidth="1"/>
    <col min="7935" max="7935" width="12.5703125" style="13" customWidth="1"/>
    <col min="7936" max="7936" width="12.42578125" style="13" customWidth="1"/>
    <col min="7937" max="7937" width="0" style="13" hidden="1" customWidth="1"/>
    <col min="7938" max="7943" width="12.5703125" style="13" customWidth="1"/>
    <col min="7944" max="7944" width="0" style="13" hidden="1" customWidth="1"/>
    <col min="7945" max="7945" width="12.5703125" style="13" customWidth="1"/>
    <col min="7946" max="7946" width="12.42578125" style="13" customWidth="1"/>
    <col min="7947" max="7947" width="0" style="13" hidden="1" customWidth="1"/>
    <col min="7948" max="7948" width="13.5703125" style="13" customWidth="1"/>
    <col min="7949" max="8189" width="9.140625" style="13"/>
    <col min="8190" max="8190" width="33.85546875" style="13" customWidth="1"/>
    <col min="8191" max="8191" width="12.5703125" style="13" customWidth="1"/>
    <col min="8192" max="8192" width="12.42578125" style="13" customWidth="1"/>
    <col min="8193" max="8193" width="0" style="13" hidden="1" customWidth="1"/>
    <col min="8194" max="8199" width="12.5703125" style="13" customWidth="1"/>
    <col min="8200" max="8200" width="0" style="13" hidden="1" customWidth="1"/>
    <col min="8201" max="8201" width="12.5703125" style="13" customWidth="1"/>
    <col min="8202" max="8202" width="12.42578125" style="13" customWidth="1"/>
    <col min="8203" max="8203" width="0" style="13" hidden="1" customWidth="1"/>
    <col min="8204" max="8204" width="13.5703125" style="13" customWidth="1"/>
    <col min="8205" max="8445" width="9.140625" style="13"/>
    <col min="8446" max="8446" width="33.85546875" style="13" customWidth="1"/>
    <col min="8447" max="8447" width="12.5703125" style="13" customWidth="1"/>
    <col min="8448" max="8448" width="12.42578125" style="13" customWidth="1"/>
    <col min="8449" max="8449" width="0" style="13" hidden="1" customWidth="1"/>
    <col min="8450" max="8455" width="12.5703125" style="13" customWidth="1"/>
    <col min="8456" max="8456" width="0" style="13" hidden="1" customWidth="1"/>
    <col min="8457" max="8457" width="12.5703125" style="13" customWidth="1"/>
    <col min="8458" max="8458" width="12.42578125" style="13" customWidth="1"/>
    <col min="8459" max="8459" width="0" style="13" hidden="1" customWidth="1"/>
    <col min="8460" max="8460" width="13.5703125" style="13" customWidth="1"/>
    <col min="8461" max="8701" width="9.140625" style="13"/>
    <col min="8702" max="8702" width="33.85546875" style="13" customWidth="1"/>
    <col min="8703" max="8703" width="12.5703125" style="13" customWidth="1"/>
    <col min="8704" max="8704" width="12.42578125" style="13" customWidth="1"/>
    <col min="8705" max="8705" width="0" style="13" hidden="1" customWidth="1"/>
    <col min="8706" max="8711" width="12.5703125" style="13" customWidth="1"/>
    <col min="8712" max="8712" width="0" style="13" hidden="1" customWidth="1"/>
    <col min="8713" max="8713" width="12.5703125" style="13" customWidth="1"/>
    <col min="8714" max="8714" width="12.42578125" style="13" customWidth="1"/>
    <col min="8715" max="8715" width="0" style="13" hidden="1" customWidth="1"/>
    <col min="8716" max="8716" width="13.5703125" style="13" customWidth="1"/>
    <col min="8717" max="8957" width="9.140625" style="13"/>
    <col min="8958" max="8958" width="33.85546875" style="13" customWidth="1"/>
    <col min="8959" max="8959" width="12.5703125" style="13" customWidth="1"/>
    <col min="8960" max="8960" width="12.42578125" style="13" customWidth="1"/>
    <col min="8961" max="8961" width="0" style="13" hidden="1" customWidth="1"/>
    <col min="8962" max="8967" width="12.5703125" style="13" customWidth="1"/>
    <col min="8968" max="8968" width="0" style="13" hidden="1" customWidth="1"/>
    <col min="8969" max="8969" width="12.5703125" style="13" customWidth="1"/>
    <col min="8970" max="8970" width="12.42578125" style="13" customWidth="1"/>
    <col min="8971" max="8971" width="0" style="13" hidden="1" customWidth="1"/>
    <col min="8972" max="8972" width="13.5703125" style="13" customWidth="1"/>
    <col min="8973" max="9213" width="9.140625" style="13"/>
    <col min="9214" max="9214" width="33.85546875" style="13" customWidth="1"/>
    <col min="9215" max="9215" width="12.5703125" style="13" customWidth="1"/>
    <col min="9216" max="9216" width="12.42578125" style="13" customWidth="1"/>
    <col min="9217" max="9217" width="0" style="13" hidden="1" customWidth="1"/>
    <col min="9218" max="9223" width="12.5703125" style="13" customWidth="1"/>
    <col min="9224" max="9224" width="0" style="13" hidden="1" customWidth="1"/>
    <col min="9225" max="9225" width="12.5703125" style="13" customWidth="1"/>
    <col min="9226" max="9226" width="12.42578125" style="13" customWidth="1"/>
    <col min="9227" max="9227" width="0" style="13" hidden="1" customWidth="1"/>
    <col min="9228" max="9228" width="13.5703125" style="13" customWidth="1"/>
    <col min="9229" max="9469" width="9.140625" style="13"/>
    <col min="9470" max="9470" width="33.85546875" style="13" customWidth="1"/>
    <col min="9471" max="9471" width="12.5703125" style="13" customWidth="1"/>
    <col min="9472" max="9472" width="12.42578125" style="13" customWidth="1"/>
    <col min="9473" max="9473" width="0" style="13" hidden="1" customWidth="1"/>
    <col min="9474" max="9479" width="12.5703125" style="13" customWidth="1"/>
    <col min="9480" max="9480" width="0" style="13" hidden="1" customWidth="1"/>
    <col min="9481" max="9481" width="12.5703125" style="13" customWidth="1"/>
    <col min="9482" max="9482" width="12.42578125" style="13" customWidth="1"/>
    <col min="9483" max="9483" width="0" style="13" hidden="1" customWidth="1"/>
    <col min="9484" max="9484" width="13.5703125" style="13" customWidth="1"/>
    <col min="9485" max="9725" width="9.140625" style="13"/>
    <col min="9726" max="9726" width="33.85546875" style="13" customWidth="1"/>
    <col min="9727" max="9727" width="12.5703125" style="13" customWidth="1"/>
    <col min="9728" max="9728" width="12.42578125" style="13" customWidth="1"/>
    <col min="9729" max="9729" width="0" style="13" hidden="1" customWidth="1"/>
    <col min="9730" max="9735" width="12.5703125" style="13" customWidth="1"/>
    <col min="9736" max="9736" width="0" style="13" hidden="1" customWidth="1"/>
    <col min="9737" max="9737" width="12.5703125" style="13" customWidth="1"/>
    <col min="9738" max="9738" width="12.42578125" style="13" customWidth="1"/>
    <col min="9739" max="9739" width="0" style="13" hidden="1" customWidth="1"/>
    <col min="9740" max="9740" width="13.5703125" style="13" customWidth="1"/>
    <col min="9741" max="9981" width="9.140625" style="13"/>
    <col min="9982" max="9982" width="33.85546875" style="13" customWidth="1"/>
    <col min="9983" max="9983" width="12.5703125" style="13" customWidth="1"/>
    <col min="9984" max="9984" width="12.42578125" style="13" customWidth="1"/>
    <col min="9985" max="9985" width="0" style="13" hidden="1" customWidth="1"/>
    <col min="9986" max="9991" width="12.5703125" style="13" customWidth="1"/>
    <col min="9992" max="9992" width="0" style="13" hidden="1" customWidth="1"/>
    <col min="9993" max="9993" width="12.5703125" style="13" customWidth="1"/>
    <col min="9994" max="9994" width="12.42578125" style="13" customWidth="1"/>
    <col min="9995" max="9995" width="0" style="13" hidden="1" customWidth="1"/>
    <col min="9996" max="9996" width="13.5703125" style="13" customWidth="1"/>
    <col min="9997" max="10237" width="9.140625" style="13"/>
    <col min="10238" max="10238" width="33.85546875" style="13" customWidth="1"/>
    <col min="10239" max="10239" width="12.5703125" style="13" customWidth="1"/>
    <col min="10240" max="10240" width="12.42578125" style="13" customWidth="1"/>
    <col min="10241" max="10241" width="0" style="13" hidden="1" customWidth="1"/>
    <col min="10242" max="10247" width="12.5703125" style="13" customWidth="1"/>
    <col min="10248" max="10248" width="0" style="13" hidden="1" customWidth="1"/>
    <col min="10249" max="10249" width="12.5703125" style="13" customWidth="1"/>
    <col min="10250" max="10250" width="12.42578125" style="13" customWidth="1"/>
    <col min="10251" max="10251" width="0" style="13" hidden="1" customWidth="1"/>
    <col min="10252" max="10252" width="13.5703125" style="13" customWidth="1"/>
    <col min="10253" max="10493" width="9.140625" style="13"/>
    <col min="10494" max="10494" width="33.85546875" style="13" customWidth="1"/>
    <col min="10495" max="10495" width="12.5703125" style="13" customWidth="1"/>
    <col min="10496" max="10496" width="12.42578125" style="13" customWidth="1"/>
    <col min="10497" max="10497" width="0" style="13" hidden="1" customWidth="1"/>
    <col min="10498" max="10503" width="12.5703125" style="13" customWidth="1"/>
    <col min="10504" max="10504" width="0" style="13" hidden="1" customWidth="1"/>
    <col min="10505" max="10505" width="12.5703125" style="13" customWidth="1"/>
    <col min="10506" max="10506" width="12.42578125" style="13" customWidth="1"/>
    <col min="10507" max="10507" width="0" style="13" hidden="1" customWidth="1"/>
    <col min="10508" max="10508" width="13.5703125" style="13" customWidth="1"/>
    <col min="10509" max="10749" width="9.140625" style="13"/>
    <col min="10750" max="10750" width="33.85546875" style="13" customWidth="1"/>
    <col min="10751" max="10751" width="12.5703125" style="13" customWidth="1"/>
    <col min="10752" max="10752" width="12.42578125" style="13" customWidth="1"/>
    <col min="10753" max="10753" width="0" style="13" hidden="1" customWidth="1"/>
    <col min="10754" max="10759" width="12.5703125" style="13" customWidth="1"/>
    <col min="10760" max="10760" width="0" style="13" hidden="1" customWidth="1"/>
    <col min="10761" max="10761" width="12.5703125" style="13" customWidth="1"/>
    <col min="10762" max="10762" width="12.42578125" style="13" customWidth="1"/>
    <col min="10763" max="10763" width="0" style="13" hidden="1" customWidth="1"/>
    <col min="10764" max="10764" width="13.5703125" style="13" customWidth="1"/>
    <col min="10765" max="11005" width="9.140625" style="13"/>
    <col min="11006" max="11006" width="33.85546875" style="13" customWidth="1"/>
    <col min="11007" max="11007" width="12.5703125" style="13" customWidth="1"/>
    <col min="11008" max="11008" width="12.42578125" style="13" customWidth="1"/>
    <col min="11009" max="11009" width="0" style="13" hidden="1" customWidth="1"/>
    <col min="11010" max="11015" width="12.5703125" style="13" customWidth="1"/>
    <col min="11016" max="11016" width="0" style="13" hidden="1" customWidth="1"/>
    <col min="11017" max="11017" width="12.5703125" style="13" customWidth="1"/>
    <col min="11018" max="11018" width="12.42578125" style="13" customWidth="1"/>
    <col min="11019" max="11019" width="0" style="13" hidden="1" customWidth="1"/>
    <col min="11020" max="11020" width="13.5703125" style="13" customWidth="1"/>
    <col min="11021" max="11261" width="9.140625" style="13"/>
    <col min="11262" max="11262" width="33.85546875" style="13" customWidth="1"/>
    <col min="11263" max="11263" width="12.5703125" style="13" customWidth="1"/>
    <col min="11264" max="11264" width="12.42578125" style="13" customWidth="1"/>
    <col min="11265" max="11265" width="0" style="13" hidden="1" customWidth="1"/>
    <col min="11266" max="11271" width="12.5703125" style="13" customWidth="1"/>
    <col min="11272" max="11272" width="0" style="13" hidden="1" customWidth="1"/>
    <col min="11273" max="11273" width="12.5703125" style="13" customWidth="1"/>
    <col min="11274" max="11274" width="12.42578125" style="13" customWidth="1"/>
    <col min="11275" max="11275" width="0" style="13" hidden="1" customWidth="1"/>
    <col min="11276" max="11276" width="13.5703125" style="13" customWidth="1"/>
    <col min="11277" max="11517" width="9.140625" style="13"/>
    <col min="11518" max="11518" width="33.85546875" style="13" customWidth="1"/>
    <col min="11519" max="11519" width="12.5703125" style="13" customWidth="1"/>
    <col min="11520" max="11520" width="12.42578125" style="13" customWidth="1"/>
    <col min="11521" max="11521" width="0" style="13" hidden="1" customWidth="1"/>
    <col min="11522" max="11527" width="12.5703125" style="13" customWidth="1"/>
    <col min="11528" max="11528" width="0" style="13" hidden="1" customWidth="1"/>
    <col min="11529" max="11529" width="12.5703125" style="13" customWidth="1"/>
    <col min="11530" max="11530" width="12.42578125" style="13" customWidth="1"/>
    <col min="11531" max="11531" width="0" style="13" hidden="1" customWidth="1"/>
    <col min="11532" max="11532" width="13.5703125" style="13" customWidth="1"/>
    <col min="11533" max="11773" width="9.140625" style="13"/>
    <col min="11774" max="11774" width="33.85546875" style="13" customWidth="1"/>
    <col min="11775" max="11775" width="12.5703125" style="13" customWidth="1"/>
    <col min="11776" max="11776" width="12.42578125" style="13" customWidth="1"/>
    <col min="11777" max="11777" width="0" style="13" hidden="1" customWidth="1"/>
    <col min="11778" max="11783" width="12.5703125" style="13" customWidth="1"/>
    <col min="11784" max="11784" width="0" style="13" hidden="1" customWidth="1"/>
    <col min="11785" max="11785" width="12.5703125" style="13" customWidth="1"/>
    <col min="11786" max="11786" width="12.42578125" style="13" customWidth="1"/>
    <col min="11787" max="11787" width="0" style="13" hidden="1" customWidth="1"/>
    <col min="11788" max="11788" width="13.5703125" style="13" customWidth="1"/>
    <col min="11789" max="12029" width="9.140625" style="13"/>
    <col min="12030" max="12030" width="33.85546875" style="13" customWidth="1"/>
    <col min="12031" max="12031" width="12.5703125" style="13" customWidth="1"/>
    <col min="12032" max="12032" width="12.42578125" style="13" customWidth="1"/>
    <col min="12033" max="12033" width="0" style="13" hidden="1" customWidth="1"/>
    <col min="12034" max="12039" width="12.5703125" style="13" customWidth="1"/>
    <col min="12040" max="12040" width="0" style="13" hidden="1" customWidth="1"/>
    <col min="12041" max="12041" width="12.5703125" style="13" customWidth="1"/>
    <col min="12042" max="12042" width="12.42578125" style="13" customWidth="1"/>
    <col min="12043" max="12043" width="0" style="13" hidden="1" customWidth="1"/>
    <col min="12044" max="12044" width="13.5703125" style="13" customWidth="1"/>
    <col min="12045" max="12285" width="9.140625" style="13"/>
    <col min="12286" max="12286" width="33.85546875" style="13" customWidth="1"/>
    <col min="12287" max="12287" width="12.5703125" style="13" customWidth="1"/>
    <col min="12288" max="12288" width="12.42578125" style="13" customWidth="1"/>
    <col min="12289" max="12289" width="0" style="13" hidden="1" customWidth="1"/>
    <col min="12290" max="12295" width="12.5703125" style="13" customWidth="1"/>
    <col min="12296" max="12296" width="0" style="13" hidden="1" customWidth="1"/>
    <col min="12297" max="12297" width="12.5703125" style="13" customWidth="1"/>
    <col min="12298" max="12298" width="12.42578125" style="13" customWidth="1"/>
    <col min="12299" max="12299" width="0" style="13" hidden="1" customWidth="1"/>
    <col min="12300" max="12300" width="13.5703125" style="13" customWidth="1"/>
    <col min="12301" max="12541" width="9.140625" style="13"/>
    <col min="12542" max="12542" width="33.85546875" style="13" customWidth="1"/>
    <col min="12543" max="12543" width="12.5703125" style="13" customWidth="1"/>
    <col min="12544" max="12544" width="12.42578125" style="13" customWidth="1"/>
    <col min="12545" max="12545" width="0" style="13" hidden="1" customWidth="1"/>
    <col min="12546" max="12551" width="12.5703125" style="13" customWidth="1"/>
    <col min="12552" max="12552" width="0" style="13" hidden="1" customWidth="1"/>
    <col min="12553" max="12553" width="12.5703125" style="13" customWidth="1"/>
    <col min="12554" max="12554" width="12.42578125" style="13" customWidth="1"/>
    <col min="12555" max="12555" width="0" style="13" hidden="1" customWidth="1"/>
    <col min="12556" max="12556" width="13.5703125" style="13" customWidth="1"/>
    <col min="12557" max="12797" width="9.140625" style="13"/>
    <col min="12798" max="12798" width="33.85546875" style="13" customWidth="1"/>
    <col min="12799" max="12799" width="12.5703125" style="13" customWidth="1"/>
    <col min="12800" max="12800" width="12.42578125" style="13" customWidth="1"/>
    <col min="12801" max="12801" width="0" style="13" hidden="1" customWidth="1"/>
    <col min="12802" max="12807" width="12.5703125" style="13" customWidth="1"/>
    <col min="12808" max="12808" width="0" style="13" hidden="1" customWidth="1"/>
    <col min="12809" max="12809" width="12.5703125" style="13" customWidth="1"/>
    <col min="12810" max="12810" width="12.42578125" style="13" customWidth="1"/>
    <col min="12811" max="12811" width="0" style="13" hidden="1" customWidth="1"/>
    <col min="12812" max="12812" width="13.5703125" style="13" customWidth="1"/>
    <col min="12813" max="13053" width="9.140625" style="13"/>
    <col min="13054" max="13054" width="33.85546875" style="13" customWidth="1"/>
    <col min="13055" max="13055" width="12.5703125" style="13" customWidth="1"/>
    <col min="13056" max="13056" width="12.42578125" style="13" customWidth="1"/>
    <col min="13057" max="13057" width="0" style="13" hidden="1" customWidth="1"/>
    <col min="13058" max="13063" width="12.5703125" style="13" customWidth="1"/>
    <col min="13064" max="13064" width="0" style="13" hidden="1" customWidth="1"/>
    <col min="13065" max="13065" width="12.5703125" style="13" customWidth="1"/>
    <col min="13066" max="13066" width="12.42578125" style="13" customWidth="1"/>
    <col min="13067" max="13067" width="0" style="13" hidden="1" customWidth="1"/>
    <col min="13068" max="13068" width="13.5703125" style="13" customWidth="1"/>
    <col min="13069" max="13309" width="9.140625" style="13"/>
    <col min="13310" max="13310" width="33.85546875" style="13" customWidth="1"/>
    <col min="13311" max="13311" width="12.5703125" style="13" customWidth="1"/>
    <col min="13312" max="13312" width="12.42578125" style="13" customWidth="1"/>
    <col min="13313" max="13313" width="0" style="13" hidden="1" customWidth="1"/>
    <col min="13314" max="13319" width="12.5703125" style="13" customWidth="1"/>
    <col min="13320" max="13320" width="0" style="13" hidden="1" customWidth="1"/>
    <col min="13321" max="13321" width="12.5703125" style="13" customWidth="1"/>
    <col min="13322" max="13322" width="12.42578125" style="13" customWidth="1"/>
    <col min="13323" max="13323" width="0" style="13" hidden="1" customWidth="1"/>
    <col min="13324" max="13324" width="13.5703125" style="13" customWidth="1"/>
    <col min="13325" max="13565" width="9.140625" style="13"/>
    <col min="13566" max="13566" width="33.85546875" style="13" customWidth="1"/>
    <col min="13567" max="13567" width="12.5703125" style="13" customWidth="1"/>
    <col min="13568" max="13568" width="12.42578125" style="13" customWidth="1"/>
    <col min="13569" max="13569" width="0" style="13" hidden="1" customWidth="1"/>
    <col min="13570" max="13575" width="12.5703125" style="13" customWidth="1"/>
    <col min="13576" max="13576" width="0" style="13" hidden="1" customWidth="1"/>
    <col min="13577" max="13577" width="12.5703125" style="13" customWidth="1"/>
    <col min="13578" max="13578" width="12.42578125" style="13" customWidth="1"/>
    <col min="13579" max="13579" width="0" style="13" hidden="1" customWidth="1"/>
    <col min="13580" max="13580" width="13.5703125" style="13" customWidth="1"/>
    <col min="13581" max="13821" width="9.140625" style="13"/>
    <col min="13822" max="13822" width="33.85546875" style="13" customWidth="1"/>
    <col min="13823" max="13823" width="12.5703125" style="13" customWidth="1"/>
    <col min="13824" max="13824" width="12.42578125" style="13" customWidth="1"/>
    <col min="13825" max="13825" width="0" style="13" hidden="1" customWidth="1"/>
    <col min="13826" max="13831" width="12.5703125" style="13" customWidth="1"/>
    <col min="13832" max="13832" width="0" style="13" hidden="1" customWidth="1"/>
    <col min="13833" max="13833" width="12.5703125" style="13" customWidth="1"/>
    <col min="13834" max="13834" width="12.42578125" style="13" customWidth="1"/>
    <col min="13835" max="13835" width="0" style="13" hidden="1" customWidth="1"/>
    <col min="13836" max="13836" width="13.5703125" style="13" customWidth="1"/>
    <col min="13837" max="14077" width="9.140625" style="13"/>
    <col min="14078" max="14078" width="33.85546875" style="13" customWidth="1"/>
    <col min="14079" max="14079" width="12.5703125" style="13" customWidth="1"/>
    <col min="14080" max="14080" width="12.42578125" style="13" customWidth="1"/>
    <col min="14081" max="14081" width="0" style="13" hidden="1" customWidth="1"/>
    <col min="14082" max="14087" width="12.5703125" style="13" customWidth="1"/>
    <col min="14088" max="14088" width="0" style="13" hidden="1" customWidth="1"/>
    <col min="14089" max="14089" width="12.5703125" style="13" customWidth="1"/>
    <col min="14090" max="14090" width="12.42578125" style="13" customWidth="1"/>
    <col min="14091" max="14091" width="0" style="13" hidden="1" customWidth="1"/>
    <col min="14092" max="14092" width="13.5703125" style="13" customWidth="1"/>
    <col min="14093" max="14333" width="9.140625" style="13"/>
    <col min="14334" max="14334" width="33.85546875" style="13" customWidth="1"/>
    <col min="14335" max="14335" width="12.5703125" style="13" customWidth="1"/>
    <col min="14336" max="14336" width="12.42578125" style="13" customWidth="1"/>
    <col min="14337" max="14337" width="0" style="13" hidden="1" customWidth="1"/>
    <col min="14338" max="14343" width="12.5703125" style="13" customWidth="1"/>
    <col min="14344" max="14344" width="0" style="13" hidden="1" customWidth="1"/>
    <col min="14345" max="14345" width="12.5703125" style="13" customWidth="1"/>
    <col min="14346" max="14346" width="12.42578125" style="13" customWidth="1"/>
    <col min="14347" max="14347" width="0" style="13" hidden="1" customWidth="1"/>
    <col min="14348" max="14348" width="13.5703125" style="13" customWidth="1"/>
    <col min="14349" max="14589" width="9.140625" style="13"/>
    <col min="14590" max="14590" width="33.85546875" style="13" customWidth="1"/>
    <col min="14591" max="14591" width="12.5703125" style="13" customWidth="1"/>
    <col min="14592" max="14592" width="12.42578125" style="13" customWidth="1"/>
    <col min="14593" max="14593" width="0" style="13" hidden="1" customWidth="1"/>
    <col min="14594" max="14599" width="12.5703125" style="13" customWidth="1"/>
    <col min="14600" max="14600" width="0" style="13" hidden="1" customWidth="1"/>
    <col min="14601" max="14601" width="12.5703125" style="13" customWidth="1"/>
    <col min="14602" max="14602" width="12.42578125" style="13" customWidth="1"/>
    <col min="14603" max="14603" width="0" style="13" hidden="1" customWidth="1"/>
    <col min="14604" max="14604" width="13.5703125" style="13" customWidth="1"/>
    <col min="14605" max="14845" width="9.140625" style="13"/>
    <col min="14846" max="14846" width="33.85546875" style="13" customWidth="1"/>
    <col min="14847" max="14847" width="12.5703125" style="13" customWidth="1"/>
    <col min="14848" max="14848" width="12.42578125" style="13" customWidth="1"/>
    <col min="14849" max="14849" width="0" style="13" hidden="1" customWidth="1"/>
    <col min="14850" max="14855" width="12.5703125" style="13" customWidth="1"/>
    <col min="14856" max="14856" width="0" style="13" hidden="1" customWidth="1"/>
    <col min="14857" max="14857" width="12.5703125" style="13" customWidth="1"/>
    <col min="14858" max="14858" width="12.42578125" style="13" customWidth="1"/>
    <col min="14859" max="14859" width="0" style="13" hidden="1" customWidth="1"/>
    <col min="14860" max="14860" width="13.5703125" style="13" customWidth="1"/>
    <col min="14861" max="15101" width="9.140625" style="13"/>
    <col min="15102" max="15102" width="33.85546875" style="13" customWidth="1"/>
    <col min="15103" max="15103" width="12.5703125" style="13" customWidth="1"/>
    <col min="15104" max="15104" width="12.42578125" style="13" customWidth="1"/>
    <col min="15105" max="15105" width="0" style="13" hidden="1" customWidth="1"/>
    <col min="15106" max="15111" width="12.5703125" style="13" customWidth="1"/>
    <col min="15112" max="15112" width="0" style="13" hidden="1" customWidth="1"/>
    <col min="15113" max="15113" width="12.5703125" style="13" customWidth="1"/>
    <col min="15114" max="15114" width="12.42578125" style="13" customWidth="1"/>
    <col min="15115" max="15115" width="0" style="13" hidden="1" customWidth="1"/>
    <col min="15116" max="15116" width="13.5703125" style="13" customWidth="1"/>
    <col min="15117" max="15357" width="9.140625" style="13"/>
    <col min="15358" max="15358" width="33.85546875" style="13" customWidth="1"/>
    <col min="15359" max="15359" width="12.5703125" style="13" customWidth="1"/>
    <col min="15360" max="15360" width="12.42578125" style="13" customWidth="1"/>
    <col min="15361" max="15361" width="0" style="13" hidden="1" customWidth="1"/>
    <col min="15362" max="15367" width="12.5703125" style="13" customWidth="1"/>
    <col min="15368" max="15368" width="0" style="13" hidden="1" customWidth="1"/>
    <col min="15369" max="15369" width="12.5703125" style="13" customWidth="1"/>
    <col min="15370" max="15370" width="12.42578125" style="13" customWidth="1"/>
    <col min="15371" max="15371" width="0" style="13" hidden="1" customWidth="1"/>
    <col min="15372" max="15372" width="13.5703125" style="13" customWidth="1"/>
    <col min="15373" max="15613" width="9.140625" style="13"/>
    <col min="15614" max="15614" width="33.85546875" style="13" customWidth="1"/>
    <col min="15615" max="15615" width="12.5703125" style="13" customWidth="1"/>
    <col min="15616" max="15616" width="12.42578125" style="13" customWidth="1"/>
    <col min="15617" max="15617" width="0" style="13" hidden="1" customWidth="1"/>
    <col min="15618" max="15623" width="12.5703125" style="13" customWidth="1"/>
    <col min="15624" max="15624" width="0" style="13" hidden="1" customWidth="1"/>
    <col min="15625" max="15625" width="12.5703125" style="13" customWidth="1"/>
    <col min="15626" max="15626" width="12.42578125" style="13" customWidth="1"/>
    <col min="15627" max="15627" width="0" style="13" hidden="1" customWidth="1"/>
    <col min="15628" max="15628" width="13.5703125" style="13" customWidth="1"/>
    <col min="15629" max="15869" width="9.140625" style="13"/>
    <col min="15870" max="15870" width="33.85546875" style="13" customWidth="1"/>
    <col min="15871" max="15871" width="12.5703125" style="13" customWidth="1"/>
    <col min="15872" max="15872" width="12.42578125" style="13" customWidth="1"/>
    <col min="15873" max="15873" width="0" style="13" hidden="1" customWidth="1"/>
    <col min="15874" max="15879" width="12.5703125" style="13" customWidth="1"/>
    <col min="15880" max="15880" width="0" style="13" hidden="1" customWidth="1"/>
    <col min="15881" max="15881" width="12.5703125" style="13" customWidth="1"/>
    <col min="15882" max="15882" width="12.42578125" style="13" customWidth="1"/>
    <col min="15883" max="15883" width="0" style="13" hidden="1" customWidth="1"/>
    <col min="15884" max="15884" width="13.5703125" style="13" customWidth="1"/>
    <col min="15885" max="16125" width="9.140625" style="13"/>
    <col min="16126" max="16126" width="33.85546875" style="13" customWidth="1"/>
    <col min="16127" max="16127" width="12.5703125" style="13" customWidth="1"/>
    <col min="16128" max="16128" width="12.42578125" style="13" customWidth="1"/>
    <col min="16129" max="16129" width="0" style="13" hidden="1" customWidth="1"/>
    <col min="16130" max="16135" width="12.5703125" style="13" customWidth="1"/>
    <col min="16136" max="16136" width="0" style="13" hidden="1" customWidth="1"/>
    <col min="16137" max="16137" width="12.5703125" style="13" customWidth="1"/>
    <col min="16138" max="16138" width="12.42578125" style="13" customWidth="1"/>
    <col min="16139" max="16139" width="0" style="13" hidden="1" customWidth="1"/>
    <col min="16140" max="16140" width="13.5703125" style="13" customWidth="1"/>
    <col min="16141" max="16384" width="9.140625" style="13"/>
  </cols>
  <sheetData>
    <row r="1" spans="1:13" s="75" customFormat="1" ht="20.100000000000001" customHeight="1" x14ac:dyDescent="0.25">
      <c r="A1" s="186" t="s">
        <v>42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s="76" customFormat="1" ht="20.100000000000001" customHeight="1" x14ac:dyDescent="0.25">
      <c r="A2" s="186" t="s">
        <v>61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s="11" customFormat="1" ht="17.25" customHeight="1" x14ac:dyDescent="0.2">
      <c r="A3" s="32"/>
      <c r="B3" s="32"/>
      <c r="C3" s="71"/>
      <c r="D3" s="71"/>
      <c r="E3" s="72"/>
      <c r="F3" s="71"/>
      <c r="G3" s="71"/>
      <c r="H3" s="73"/>
      <c r="I3" s="71"/>
      <c r="J3" s="74"/>
      <c r="K3" s="73"/>
      <c r="L3" s="71"/>
      <c r="M3" s="77" t="s">
        <v>45</v>
      </c>
    </row>
    <row r="4" spans="1:13" s="12" customFormat="1" ht="26.25" customHeight="1" x14ac:dyDescent="0.2">
      <c r="A4" s="33"/>
      <c r="B4" s="33"/>
      <c r="C4" s="33" t="s">
        <v>46</v>
      </c>
      <c r="D4" s="33" t="s">
        <v>47</v>
      </c>
      <c r="E4" s="33" t="s">
        <v>58</v>
      </c>
      <c r="F4" s="33" t="s">
        <v>5</v>
      </c>
      <c r="G4" s="33" t="s">
        <v>53</v>
      </c>
      <c r="H4" s="33" t="s">
        <v>59</v>
      </c>
      <c r="I4" s="33" t="s">
        <v>8</v>
      </c>
      <c r="J4" s="33" t="s">
        <v>9</v>
      </c>
      <c r="K4" s="33" t="s">
        <v>60</v>
      </c>
      <c r="L4" s="33" t="s">
        <v>11</v>
      </c>
      <c r="M4" s="34" t="s">
        <v>13</v>
      </c>
    </row>
    <row r="5" spans="1:13" s="12" customFormat="1" ht="9.75" customHeight="1" x14ac:dyDescent="0.2">
      <c r="A5" s="78"/>
      <c r="B5" s="173"/>
      <c r="C5" s="79"/>
      <c r="D5" s="79"/>
      <c r="E5" s="80"/>
      <c r="F5" s="81"/>
      <c r="G5" s="81"/>
      <c r="H5" s="82"/>
      <c r="I5" s="83"/>
      <c r="J5" s="84"/>
      <c r="K5" s="85"/>
      <c r="L5" s="84"/>
      <c r="M5" s="86"/>
    </row>
    <row r="6" spans="1:13" s="12" customFormat="1" ht="15.75" customHeight="1" x14ac:dyDescent="0.2">
      <c r="A6" s="35" t="s">
        <v>14</v>
      </c>
      <c r="B6" s="18" t="s">
        <v>14</v>
      </c>
      <c r="C6" s="87">
        <v>27232</v>
      </c>
      <c r="D6" s="45">
        <v>27166.169000000002</v>
      </c>
      <c r="E6" s="88">
        <v>1E-3</v>
      </c>
      <c r="F6" s="87">
        <v>7317.9309999999996</v>
      </c>
      <c r="G6" s="87">
        <v>11890.637000000001</v>
      </c>
      <c r="H6" s="88">
        <v>0</v>
      </c>
      <c r="I6" s="87">
        <v>0</v>
      </c>
      <c r="J6" s="45">
        <v>8289.5030000000006</v>
      </c>
      <c r="K6" s="88">
        <v>207</v>
      </c>
      <c r="L6" s="45">
        <v>15049.163</v>
      </c>
      <c r="M6" s="41">
        <f t="shared" ref="M6:M34" si="0">SUM(C6:L6)</f>
        <v>97152.403999999995</v>
      </c>
    </row>
    <row r="7" spans="1:13" s="12" customFormat="1" ht="15.75" customHeight="1" x14ac:dyDescent="0.2">
      <c r="A7" s="35" t="s">
        <v>15</v>
      </c>
      <c r="B7" s="18" t="s">
        <v>15</v>
      </c>
      <c r="C7" s="87">
        <v>193398</v>
      </c>
      <c r="D7" s="45">
        <v>203745</v>
      </c>
      <c r="E7" s="88">
        <v>0</v>
      </c>
      <c r="F7" s="87">
        <v>7634.1</v>
      </c>
      <c r="G7" s="87">
        <v>49710.508000000002</v>
      </c>
      <c r="H7" s="88">
        <v>0</v>
      </c>
      <c r="I7" s="45">
        <v>51763.77</v>
      </c>
      <c r="J7" s="87">
        <v>0</v>
      </c>
      <c r="K7" s="88">
        <v>18750</v>
      </c>
      <c r="L7" s="45">
        <v>190000</v>
      </c>
      <c r="M7" s="41">
        <f t="shared" si="0"/>
        <v>715001.37800000003</v>
      </c>
    </row>
    <row r="8" spans="1:13" s="12" customFormat="1" ht="15.75" customHeight="1" x14ac:dyDescent="0.2">
      <c r="A8" s="35" t="s">
        <v>16</v>
      </c>
      <c r="B8" s="18" t="s">
        <v>16</v>
      </c>
      <c r="C8" s="87">
        <v>504018</v>
      </c>
      <c r="D8" s="45">
        <v>931070</v>
      </c>
      <c r="E8" s="89">
        <v>405.76400000000001</v>
      </c>
      <c r="F8" s="87">
        <v>128300</v>
      </c>
      <c r="G8" s="87">
        <v>104053.053</v>
      </c>
      <c r="H8" s="89">
        <v>1150</v>
      </c>
      <c r="I8" s="45">
        <v>308305</v>
      </c>
      <c r="J8" s="87">
        <v>0</v>
      </c>
      <c r="K8" s="88">
        <v>0</v>
      </c>
      <c r="L8" s="45">
        <v>451000</v>
      </c>
      <c r="M8" s="41">
        <f t="shared" si="0"/>
        <v>2428301.8169999998</v>
      </c>
    </row>
    <row r="9" spans="1:13" s="12" customFormat="1" ht="15.75" customHeight="1" x14ac:dyDescent="0.2">
      <c r="A9" s="35" t="s">
        <v>17</v>
      </c>
      <c r="B9" s="18" t="s">
        <v>17</v>
      </c>
      <c r="C9" s="87">
        <v>22995</v>
      </c>
      <c r="D9" s="45">
        <v>123767.561</v>
      </c>
      <c r="E9" s="89">
        <v>29.257000000000001</v>
      </c>
      <c r="F9" s="87">
        <v>8603.5740000000005</v>
      </c>
      <c r="G9" s="87">
        <v>23582.462</v>
      </c>
      <c r="H9" s="89">
        <v>78.316999999999993</v>
      </c>
      <c r="I9" s="45">
        <v>13144.183999999999</v>
      </c>
      <c r="J9" s="45">
        <v>8328.7639999999992</v>
      </c>
      <c r="K9" s="88">
        <v>814</v>
      </c>
      <c r="L9" s="45">
        <v>43145.502</v>
      </c>
      <c r="M9" s="41">
        <f t="shared" si="0"/>
        <v>244488.62100000001</v>
      </c>
    </row>
    <row r="10" spans="1:13" s="12" customFormat="1" ht="15.75" customHeight="1" x14ac:dyDescent="0.2">
      <c r="A10" s="35" t="s">
        <v>18</v>
      </c>
      <c r="B10" s="18" t="s">
        <v>18</v>
      </c>
      <c r="C10" s="87">
        <v>540626</v>
      </c>
      <c r="D10" s="45">
        <v>14344835.673</v>
      </c>
      <c r="E10" s="88">
        <v>0</v>
      </c>
      <c r="F10" s="87">
        <v>29968.812000000002</v>
      </c>
      <c r="G10" s="87">
        <v>75</v>
      </c>
      <c r="H10" s="88">
        <v>0</v>
      </c>
      <c r="I10" s="87">
        <v>0</v>
      </c>
      <c r="J10" s="87">
        <v>0</v>
      </c>
      <c r="K10" s="88">
        <v>0</v>
      </c>
      <c r="L10" s="45">
        <v>4888644.6459999997</v>
      </c>
      <c r="M10" s="41">
        <f t="shared" si="0"/>
        <v>19804150.131000001</v>
      </c>
    </row>
    <row r="11" spans="1:13" s="12" customFormat="1" ht="15.75" customHeight="1" x14ac:dyDescent="0.2">
      <c r="A11" s="35" t="s">
        <v>19</v>
      </c>
      <c r="B11" s="18" t="s">
        <v>19</v>
      </c>
      <c r="C11" s="87">
        <v>5497257.5470000003</v>
      </c>
      <c r="D11" s="45">
        <v>670981.20799999998</v>
      </c>
      <c r="E11" s="88">
        <v>0</v>
      </c>
      <c r="F11" s="87">
        <v>253426.86199999999</v>
      </c>
      <c r="G11" s="87">
        <v>2145325.0307499999</v>
      </c>
      <c r="H11" s="89">
        <v>1202.6400000000001</v>
      </c>
      <c r="I11" s="45">
        <v>85411.785400000008</v>
      </c>
      <c r="J11" s="45">
        <v>87723.122000000003</v>
      </c>
      <c r="K11" s="88">
        <v>0</v>
      </c>
      <c r="L11" s="45">
        <v>4722118.2589999996</v>
      </c>
      <c r="M11" s="41">
        <f t="shared" si="0"/>
        <v>13463446.454149999</v>
      </c>
    </row>
    <row r="12" spans="1:13" s="12" customFormat="1" ht="15.75" customHeight="1" x14ac:dyDescent="0.2">
      <c r="A12" s="35" t="s">
        <v>20</v>
      </c>
      <c r="B12" s="18" t="s">
        <v>112</v>
      </c>
      <c r="C12" s="87">
        <v>466825.30200000003</v>
      </c>
      <c r="D12" s="45">
        <v>389930.15</v>
      </c>
      <c r="E12" s="89">
        <v>24871.175999999999</v>
      </c>
      <c r="F12" s="87">
        <v>100308.837</v>
      </c>
      <c r="G12" s="87">
        <v>112907.137</v>
      </c>
      <c r="H12" s="88">
        <v>0.01</v>
      </c>
      <c r="I12" s="87">
        <v>0</v>
      </c>
      <c r="J12" s="87">
        <v>0</v>
      </c>
      <c r="K12" s="88">
        <v>0</v>
      </c>
      <c r="L12" s="45">
        <v>406118.25400000002</v>
      </c>
      <c r="M12" s="41">
        <f t="shared" si="0"/>
        <v>1500960.8660000002</v>
      </c>
    </row>
    <row r="13" spans="1:13" s="12" customFormat="1" ht="15.75" customHeight="1" x14ac:dyDescent="0.2">
      <c r="A13" s="35" t="s">
        <v>21</v>
      </c>
      <c r="B13" s="18" t="s">
        <v>113</v>
      </c>
      <c r="C13" s="87">
        <v>471758.22</v>
      </c>
      <c r="D13" s="45">
        <v>299678.61499999999</v>
      </c>
      <c r="E13" s="88">
        <v>0</v>
      </c>
      <c r="F13" s="87">
        <v>81561.842999999993</v>
      </c>
      <c r="G13" s="87">
        <v>117.61</v>
      </c>
      <c r="H13" s="88">
        <v>0</v>
      </c>
      <c r="I13" s="87">
        <v>0</v>
      </c>
      <c r="J13" s="45">
        <v>16033.957</v>
      </c>
      <c r="K13" s="88">
        <v>0</v>
      </c>
      <c r="L13" s="87">
        <v>0</v>
      </c>
      <c r="M13" s="41">
        <f t="shared" si="0"/>
        <v>869150.245</v>
      </c>
    </row>
    <row r="14" spans="1:13" s="12" customFormat="1" ht="15.75" customHeight="1" x14ac:dyDescent="0.2">
      <c r="A14" s="35" t="s">
        <v>22</v>
      </c>
      <c r="B14" s="18" t="s">
        <v>114</v>
      </c>
      <c r="C14" s="87">
        <v>4255751.8150000004</v>
      </c>
      <c r="D14" s="45">
        <v>38187.14</v>
      </c>
      <c r="E14" s="88">
        <v>0</v>
      </c>
      <c r="F14" s="87">
        <v>0</v>
      </c>
      <c r="G14" s="87">
        <v>103924.52136488791</v>
      </c>
      <c r="H14" s="88">
        <v>0</v>
      </c>
      <c r="I14" s="87">
        <v>0</v>
      </c>
      <c r="J14" s="45">
        <v>116854.7</v>
      </c>
      <c r="K14" s="88">
        <v>0</v>
      </c>
      <c r="L14" s="45">
        <v>1011.503</v>
      </c>
      <c r="M14" s="41">
        <f t="shared" si="0"/>
        <v>4515729.679364888</v>
      </c>
    </row>
    <row r="15" spans="1:13" s="12" customFormat="1" ht="15.75" customHeight="1" x14ac:dyDescent="0.2">
      <c r="A15" s="35" t="s">
        <v>23</v>
      </c>
      <c r="B15" s="18" t="s">
        <v>102</v>
      </c>
      <c r="C15" s="87">
        <v>4359643</v>
      </c>
      <c r="D15" s="45">
        <v>71536.126000000004</v>
      </c>
      <c r="E15" s="88">
        <v>0</v>
      </c>
      <c r="F15" s="87">
        <v>4785.7749999999996</v>
      </c>
      <c r="G15" s="87">
        <v>1260683.084</v>
      </c>
      <c r="H15" s="88">
        <v>0</v>
      </c>
      <c r="I15" s="45">
        <v>1109748.9480000001</v>
      </c>
      <c r="J15" s="87">
        <v>0</v>
      </c>
      <c r="K15" s="88">
        <v>0</v>
      </c>
      <c r="L15" s="45">
        <v>10062869.276000001</v>
      </c>
      <c r="M15" s="41">
        <f t="shared" si="0"/>
        <v>16869266.208999999</v>
      </c>
    </row>
    <row r="16" spans="1:13" s="12" customFormat="1" ht="15.75" customHeight="1" x14ac:dyDescent="0.2">
      <c r="A16" s="35" t="s">
        <v>24</v>
      </c>
      <c r="B16" s="18" t="s">
        <v>24</v>
      </c>
      <c r="C16" s="87">
        <v>272841</v>
      </c>
      <c r="D16" s="45">
        <v>54988.650999999998</v>
      </c>
      <c r="E16" s="88">
        <v>0</v>
      </c>
      <c r="F16" s="87">
        <v>32794.182999999997</v>
      </c>
      <c r="G16" s="87">
        <v>130550</v>
      </c>
      <c r="H16" s="88">
        <v>0</v>
      </c>
      <c r="I16" s="87">
        <v>0</v>
      </c>
      <c r="J16" s="45">
        <v>93000</v>
      </c>
      <c r="K16" s="88">
        <v>0</v>
      </c>
      <c r="L16" s="87">
        <v>0</v>
      </c>
      <c r="M16" s="41">
        <f t="shared" si="0"/>
        <v>584173.83400000003</v>
      </c>
    </row>
    <row r="17" spans="1:13" s="12" customFormat="1" ht="15.75" customHeight="1" x14ac:dyDescent="0.2">
      <c r="A17" s="35" t="s">
        <v>25</v>
      </c>
      <c r="B17" s="18" t="s">
        <v>103</v>
      </c>
      <c r="C17" s="87">
        <v>2626605</v>
      </c>
      <c r="D17" s="45">
        <v>176334.74100000001</v>
      </c>
      <c r="E17" s="89">
        <v>3855.393</v>
      </c>
      <c r="F17" s="87">
        <v>117070.32</v>
      </c>
      <c r="G17" s="87">
        <v>608002.48699999996</v>
      </c>
      <c r="H17" s="89">
        <v>15621.927</v>
      </c>
      <c r="I17" s="45">
        <v>152166.454</v>
      </c>
      <c r="J17" s="45">
        <v>105874.74400000001</v>
      </c>
      <c r="K17" s="88">
        <v>417</v>
      </c>
      <c r="L17" s="45">
        <v>1992426.058</v>
      </c>
      <c r="M17" s="41">
        <f t="shared" si="0"/>
        <v>5798374.1239999998</v>
      </c>
    </row>
    <row r="18" spans="1:13" s="12" customFormat="1" ht="15.75" customHeight="1" x14ac:dyDescent="0.2">
      <c r="A18" s="35" t="s">
        <v>26</v>
      </c>
      <c r="B18" s="18" t="s">
        <v>26</v>
      </c>
      <c r="C18" s="87">
        <v>1101873</v>
      </c>
      <c r="D18" s="45">
        <v>20861.677</v>
      </c>
      <c r="E18" s="88">
        <v>0</v>
      </c>
      <c r="F18" s="87">
        <v>0</v>
      </c>
      <c r="G18" s="87">
        <v>50667.718999999997</v>
      </c>
      <c r="H18" s="89">
        <v>518.85799999999995</v>
      </c>
      <c r="I18" s="87">
        <v>0</v>
      </c>
      <c r="J18" s="87">
        <v>0</v>
      </c>
      <c r="K18" s="88">
        <v>0</v>
      </c>
      <c r="L18" s="45">
        <v>8896.8809999999994</v>
      </c>
      <c r="M18" s="41">
        <f t="shared" si="0"/>
        <v>1182818.135</v>
      </c>
    </row>
    <row r="19" spans="1:13" s="12" customFormat="1" ht="15.75" customHeight="1" x14ac:dyDescent="0.2">
      <c r="A19" s="35" t="s">
        <v>27</v>
      </c>
      <c r="B19" s="18" t="s">
        <v>104</v>
      </c>
      <c r="C19" s="87">
        <v>111815</v>
      </c>
      <c r="D19" s="45">
        <v>144889.41</v>
      </c>
      <c r="E19" s="89">
        <v>1534.973</v>
      </c>
      <c r="F19" s="87">
        <v>29365.124</v>
      </c>
      <c r="G19" s="87">
        <v>24690.107</v>
      </c>
      <c r="H19" s="89">
        <v>227.10900000000001</v>
      </c>
      <c r="I19" s="45">
        <v>51757.483999999997</v>
      </c>
      <c r="J19" s="45">
        <v>16398.053</v>
      </c>
      <c r="K19" s="88">
        <v>493</v>
      </c>
      <c r="L19" s="45">
        <v>133141.264</v>
      </c>
      <c r="M19" s="41">
        <f t="shared" si="0"/>
        <v>514311.52399999998</v>
      </c>
    </row>
    <row r="20" spans="1:13" s="12" customFormat="1" ht="15.75" customHeight="1" x14ac:dyDescent="0.2">
      <c r="A20" s="35" t="s">
        <v>28</v>
      </c>
      <c r="B20" s="18" t="s">
        <v>28</v>
      </c>
      <c r="C20" s="87">
        <v>7576</v>
      </c>
      <c r="D20" s="45">
        <v>0</v>
      </c>
      <c r="E20" s="88">
        <v>0</v>
      </c>
      <c r="F20" s="87">
        <v>0</v>
      </c>
      <c r="G20" s="87">
        <v>6336.6170000000002</v>
      </c>
      <c r="H20" s="88">
        <v>0</v>
      </c>
      <c r="I20" s="87">
        <v>0</v>
      </c>
      <c r="J20" s="87">
        <v>0</v>
      </c>
      <c r="K20" s="88">
        <v>0</v>
      </c>
      <c r="L20" s="45">
        <v>323489.59700000001</v>
      </c>
      <c r="M20" s="41">
        <f t="shared" si="0"/>
        <v>337402.21400000004</v>
      </c>
    </row>
    <row r="21" spans="1:13" s="12" customFormat="1" ht="15.75" customHeight="1" x14ac:dyDescent="0.2">
      <c r="A21" s="35" t="s">
        <v>29</v>
      </c>
      <c r="B21" s="18" t="s">
        <v>29</v>
      </c>
      <c r="C21" s="87">
        <v>22500</v>
      </c>
      <c r="D21" s="45">
        <v>0</v>
      </c>
      <c r="E21" s="88">
        <v>0</v>
      </c>
      <c r="F21" s="87">
        <v>0</v>
      </c>
      <c r="G21" s="87">
        <v>470.00599999999997</v>
      </c>
      <c r="H21" s="89">
        <v>217.09700000000001</v>
      </c>
      <c r="I21" s="87">
        <v>0</v>
      </c>
      <c r="J21" s="87">
        <v>0</v>
      </c>
      <c r="K21" s="88">
        <v>0</v>
      </c>
      <c r="L21" s="45">
        <v>139500</v>
      </c>
      <c r="M21" s="41">
        <f t="shared" si="0"/>
        <v>162687.103</v>
      </c>
    </row>
    <row r="22" spans="1:13" s="12" customFormat="1" ht="15.75" customHeight="1" x14ac:dyDescent="0.2">
      <c r="A22" s="35" t="s">
        <v>30</v>
      </c>
      <c r="B22" s="18" t="s">
        <v>105</v>
      </c>
      <c r="C22" s="87">
        <v>18985</v>
      </c>
      <c r="D22" s="45">
        <v>0</v>
      </c>
      <c r="E22" s="88">
        <v>0</v>
      </c>
      <c r="F22" s="87">
        <v>3289.8389999999999</v>
      </c>
      <c r="G22" s="87">
        <v>16102.646000000001</v>
      </c>
      <c r="H22" s="88">
        <v>0</v>
      </c>
      <c r="I22" s="87">
        <v>0</v>
      </c>
      <c r="J22" s="87">
        <v>0</v>
      </c>
      <c r="K22" s="88">
        <v>0</v>
      </c>
      <c r="L22" s="45">
        <v>3926.7359999999999</v>
      </c>
      <c r="M22" s="41">
        <f t="shared" si="0"/>
        <v>42304.220999999998</v>
      </c>
    </row>
    <row r="23" spans="1:13" s="12" customFormat="1" ht="15.75" customHeight="1" x14ac:dyDescent="0.2">
      <c r="A23" s="35" t="s">
        <v>31</v>
      </c>
      <c r="B23" s="18" t="s">
        <v>106</v>
      </c>
      <c r="C23" s="87">
        <f>13439+7487</f>
        <v>20926</v>
      </c>
      <c r="D23" s="45">
        <v>6077006.8279999997</v>
      </c>
      <c r="E23" s="88">
        <v>0</v>
      </c>
      <c r="F23" s="87">
        <v>79511.576000000001</v>
      </c>
      <c r="G23" s="45">
        <v>67834.717999999993</v>
      </c>
      <c r="H23" s="88">
        <v>0</v>
      </c>
      <c r="I23" s="87">
        <v>0</v>
      </c>
      <c r="J23" s="87">
        <v>0</v>
      </c>
      <c r="K23" s="88">
        <v>0</v>
      </c>
      <c r="L23" s="87">
        <v>341625.15</v>
      </c>
      <c r="M23" s="41">
        <f t="shared" si="0"/>
        <v>6586904.2720000008</v>
      </c>
    </row>
    <row r="24" spans="1:13" s="12" customFormat="1" ht="15.75" customHeight="1" x14ac:dyDescent="0.2">
      <c r="A24" s="170" t="s">
        <v>80</v>
      </c>
      <c r="B24" s="18" t="s">
        <v>115</v>
      </c>
      <c r="C24" s="87"/>
      <c r="D24" s="45"/>
      <c r="E24" s="88"/>
      <c r="F24" s="87"/>
      <c r="G24" s="45"/>
      <c r="H24" s="88"/>
      <c r="I24" s="87"/>
      <c r="J24" s="87"/>
      <c r="K24" s="88"/>
      <c r="L24" s="87"/>
      <c r="M24" s="41"/>
    </row>
    <row r="25" spans="1:13" s="12" customFormat="1" ht="15.75" customHeight="1" x14ac:dyDescent="0.2">
      <c r="A25" s="35" t="s">
        <v>32</v>
      </c>
      <c r="B25" s="18" t="s">
        <v>32</v>
      </c>
      <c r="C25" s="87">
        <v>34</v>
      </c>
      <c r="D25" s="45">
        <v>70.2</v>
      </c>
      <c r="E25" s="89">
        <v>28.966000000000001</v>
      </c>
      <c r="F25" s="87">
        <v>17.082999999999998</v>
      </c>
      <c r="G25" s="87">
        <v>34.691000000000003</v>
      </c>
      <c r="H25" s="89">
        <v>0.64400000000000002</v>
      </c>
      <c r="I25" s="45">
        <v>53.844999999999999</v>
      </c>
      <c r="J25" s="45">
        <v>3</v>
      </c>
      <c r="K25" s="88">
        <v>283</v>
      </c>
      <c r="L25" s="45">
        <v>19382.756000000001</v>
      </c>
      <c r="M25" s="41">
        <f t="shared" si="0"/>
        <v>19908.185000000001</v>
      </c>
    </row>
    <row r="26" spans="1:13" s="12" customFormat="1" ht="15.75" customHeight="1" x14ac:dyDescent="0.2">
      <c r="A26" s="35" t="s">
        <v>33</v>
      </c>
      <c r="B26" s="18" t="s">
        <v>107</v>
      </c>
      <c r="C26" s="87">
        <v>400191</v>
      </c>
      <c r="D26" s="45">
        <v>237479.15</v>
      </c>
      <c r="E26" s="89">
        <v>4057.6984400000001</v>
      </c>
      <c r="F26" s="87">
        <v>42285.364999999998</v>
      </c>
      <c r="G26" s="87">
        <v>42348.542999999998</v>
      </c>
      <c r="H26" s="89">
        <v>27792.275000000001</v>
      </c>
      <c r="I26" s="45">
        <v>530446.37399999995</v>
      </c>
      <c r="J26" s="45">
        <v>86116.44</v>
      </c>
      <c r="K26" s="88">
        <v>1012</v>
      </c>
      <c r="L26" s="45">
        <v>674233.16399999999</v>
      </c>
      <c r="M26" s="41">
        <f t="shared" si="0"/>
        <v>2045962.0094399997</v>
      </c>
    </row>
    <row r="27" spans="1:13" s="12" customFormat="1" ht="15.75" customHeight="1" x14ac:dyDescent="0.2">
      <c r="A27" s="35" t="s">
        <v>34</v>
      </c>
      <c r="B27" s="18" t="s">
        <v>34</v>
      </c>
      <c r="C27" s="87">
        <f>2548193+179689+252031+152412</f>
        <v>3132325</v>
      </c>
      <c r="D27" s="45">
        <v>401642</v>
      </c>
      <c r="E27" s="89">
        <v>26701.901999999998</v>
      </c>
      <c r="F27" s="87">
        <v>1031.1669999999999</v>
      </c>
      <c r="G27" s="87">
        <v>509380.39600000001</v>
      </c>
      <c r="H27" s="89">
        <v>13860</v>
      </c>
      <c r="I27" s="45">
        <v>401135</v>
      </c>
      <c r="J27" s="45">
        <v>0</v>
      </c>
      <c r="K27" s="90">
        <v>10750</v>
      </c>
      <c r="L27" s="45">
        <v>3897812.3080000002</v>
      </c>
      <c r="M27" s="41">
        <f t="shared" si="0"/>
        <v>8394637.773</v>
      </c>
    </row>
    <row r="28" spans="1:13" s="12" customFormat="1" ht="15.75" customHeight="1" x14ac:dyDescent="0.2">
      <c r="A28" s="35" t="s">
        <v>35</v>
      </c>
      <c r="B28" s="18" t="s">
        <v>108</v>
      </c>
      <c r="C28" s="87">
        <f>481275+178834+76276+386577</f>
        <v>1122962</v>
      </c>
      <c r="D28" s="45">
        <v>200091.84299999999</v>
      </c>
      <c r="E28" s="89">
        <v>17747.399000000001</v>
      </c>
      <c r="F28" s="87">
        <v>120700</v>
      </c>
      <c r="G28" s="87">
        <v>0</v>
      </c>
      <c r="H28" s="88">
        <v>0</v>
      </c>
      <c r="I28" s="45">
        <v>10000</v>
      </c>
      <c r="J28" s="45">
        <v>26895.381000000001</v>
      </c>
      <c r="K28" s="88">
        <v>29052</v>
      </c>
      <c r="L28" s="45">
        <v>1428363.821</v>
      </c>
      <c r="M28" s="41">
        <f t="shared" si="0"/>
        <v>2955812.4440000001</v>
      </c>
    </row>
    <row r="29" spans="1:13" s="12" customFormat="1" ht="15.75" customHeight="1" x14ac:dyDescent="0.2">
      <c r="A29" s="35" t="s">
        <v>36</v>
      </c>
      <c r="B29" s="18" t="s">
        <v>109</v>
      </c>
      <c r="C29" s="87">
        <f>50916+302+43189</f>
        <v>94407</v>
      </c>
      <c r="D29" s="45">
        <v>20593.101999999999</v>
      </c>
      <c r="E29" s="89">
        <v>346.34500000000003</v>
      </c>
      <c r="F29" s="45">
        <v>5003.701</v>
      </c>
      <c r="G29" s="45">
        <v>2355.7570000000001</v>
      </c>
      <c r="H29" s="89">
        <v>871.31600000000003</v>
      </c>
      <c r="I29" s="45">
        <v>11002.971</v>
      </c>
      <c r="J29" s="87">
        <v>0</v>
      </c>
      <c r="K29" s="88">
        <v>0</v>
      </c>
      <c r="L29" s="45">
        <v>6147.4260000000004</v>
      </c>
      <c r="M29" s="41">
        <f t="shared" si="0"/>
        <v>140727.61800000002</v>
      </c>
    </row>
    <row r="30" spans="1:13" s="12" customFormat="1" ht="16.5" customHeight="1" x14ac:dyDescent="0.2">
      <c r="A30" s="35" t="s">
        <v>37</v>
      </c>
      <c r="B30" s="18" t="s">
        <v>116</v>
      </c>
      <c r="C30" s="87">
        <v>36645</v>
      </c>
      <c r="D30" s="45">
        <v>1917.6559999999999</v>
      </c>
      <c r="E30" s="88">
        <v>0</v>
      </c>
      <c r="F30" s="87">
        <v>0</v>
      </c>
      <c r="G30" s="87">
        <v>0</v>
      </c>
      <c r="H30" s="88">
        <v>0</v>
      </c>
      <c r="I30" s="87">
        <v>0</v>
      </c>
      <c r="J30" s="45">
        <v>1892.278</v>
      </c>
      <c r="K30" s="88">
        <v>0</v>
      </c>
      <c r="L30" s="45">
        <v>46894.663</v>
      </c>
      <c r="M30" s="41">
        <f t="shared" si="0"/>
        <v>87349.597000000009</v>
      </c>
    </row>
    <row r="31" spans="1:13" s="12" customFormat="1" ht="16.5" customHeight="1" x14ac:dyDescent="0.2">
      <c r="A31" s="35" t="s">
        <v>38</v>
      </c>
      <c r="B31" s="18" t="s">
        <v>117</v>
      </c>
      <c r="C31" s="87">
        <v>23680</v>
      </c>
      <c r="D31" s="45">
        <v>1561010.1229999999</v>
      </c>
      <c r="E31" s="88">
        <v>0</v>
      </c>
      <c r="F31" s="91">
        <v>6848.1120000000001</v>
      </c>
      <c r="G31" s="87">
        <v>0</v>
      </c>
      <c r="H31" s="88">
        <v>0</v>
      </c>
      <c r="I31" s="87">
        <v>0</v>
      </c>
      <c r="J31" s="45">
        <v>79216.260999999999</v>
      </c>
      <c r="K31" s="88">
        <v>0</v>
      </c>
      <c r="L31" s="45">
        <v>56761.122000000003</v>
      </c>
      <c r="M31" s="41">
        <f t="shared" si="0"/>
        <v>1727515.6179999998</v>
      </c>
    </row>
    <row r="32" spans="1:13" s="12" customFormat="1" ht="16.5" customHeight="1" x14ac:dyDescent="0.2">
      <c r="A32" s="35" t="s">
        <v>39</v>
      </c>
      <c r="B32" s="18" t="s">
        <v>110</v>
      </c>
      <c r="C32" s="87">
        <v>0</v>
      </c>
      <c r="D32" s="87">
        <v>0</v>
      </c>
      <c r="E32" s="88">
        <v>0</v>
      </c>
      <c r="F32" s="87">
        <v>0</v>
      </c>
      <c r="G32" s="87">
        <v>0</v>
      </c>
      <c r="H32" s="88">
        <v>0</v>
      </c>
      <c r="I32" s="87">
        <v>0</v>
      </c>
      <c r="J32" s="87">
        <v>0</v>
      </c>
      <c r="K32" s="88">
        <v>0</v>
      </c>
      <c r="L32" s="87">
        <v>0</v>
      </c>
      <c r="M32" s="41">
        <f t="shared" si="0"/>
        <v>0</v>
      </c>
    </row>
    <row r="33" spans="1:13" s="12" customFormat="1" ht="16.5" customHeight="1" x14ac:dyDescent="0.2">
      <c r="A33" s="35" t="s">
        <v>40</v>
      </c>
      <c r="B33" s="18" t="s">
        <v>37</v>
      </c>
      <c r="C33" s="87">
        <v>116614</v>
      </c>
      <c r="D33" s="45">
        <v>264007.413</v>
      </c>
      <c r="E33" s="88">
        <v>0</v>
      </c>
      <c r="F33" s="87">
        <v>13428.52</v>
      </c>
      <c r="G33" s="87">
        <v>28607.69</v>
      </c>
      <c r="H33" s="89">
        <v>4442.1629999999996</v>
      </c>
      <c r="I33" s="45">
        <v>5230.5940000000001</v>
      </c>
      <c r="J33" s="45">
        <v>16696.589</v>
      </c>
      <c r="K33" s="88">
        <v>1145</v>
      </c>
      <c r="L33" s="45">
        <v>403.03</v>
      </c>
      <c r="M33" s="41">
        <f t="shared" si="0"/>
        <v>450574.99900000001</v>
      </c>
    </row>
    <row r="34" spans="1:13" s="12" customFormat="1" ht="16.5" customHeight="1" x14ac:dyDescent="0.2">
      <c r="A34" s="35" t="s">
        <v>41</v>
      </c>
      <c r="B34" s="18" t="s">
        <v>40</v>
      </c>
      <c r="C34" s="87">
        <v>-20000</v>
      </c>
      <c r="D34" s="87">
        <v>0</v>
      </c>
      <c r="E34" s="89">
        <v>6770.6440000000002</v>
      </c>
      <c r="F34" s="87">
        <v>0</v>
      </c>
      <c r="G34" s="87">
        <v>51764.021000000001</v>
      </c>
      <c r="H34" s="88">
        <v>0</v>
      </c>
      <c r="I34" s="45">
        <v>306607.18599999999</v>
      </c>
      <c r="J34" s="87">
        <v>0</v>
      </c>
      <c r="K34" s="88">
        <v>0</v>
      </c>
      <c r="L34" s="45">
        <v>755963.65300000005</v>
      </c>
      <c r="M34" s="41">
        <f t="shared" si="0"/>
        <v>1101105.504</v>
      </c>
    </row>
    <row r="35" spans="1:13" s="12" customFormat="1" ht="16.5" customHeight="1" x14ac:dyDescent="0.2">
      <c r="A35" s="175"/>
      <c r="B35" s="18" t="s">
        <v>41</v>
      </c>
      <c r="C35" s="51"/>
      <c r="D35" s="51"/>
      <c r="E35" s="176"/>
      <c r="F35" s="51"/>
      <c r="G35" s="51"/>
      <c r="H35" s="52"/>
      <c r="I35" s="49"/>
      <c r="J35" s="51"/>
      <c r="K35" s="52"/>
      <c r="L35" s="49"/>
      <c r="M35" s="177"/>
    </row>
    <row r="36" spans="1:13" s="12" customFormat="1" ht="9.75" customHeight="1" x14ac:dyDescent="0.2">
      <c r="A36" s="50"/>
      <c r="B36" s="171"/>
      <c r="C36" s="51"/>
      <c r="D36" s="51"/>
      <c r="E36" s="52"/>
      <c r="F36" s="51"/>
      <c r="G36" s="51"/>
      <c r="H36" s="53"/>
      <c r="I36" s="54"/>
      <c r="J36" s="54"/>
      <c r="K36" s="53"/>
      <c r="L36" s="54"/>
      <c r="M36" s="55"/>
    </row>
    <row r="37" spans="1:13" s="12" customFormat="1" ht="16.5" customHeight="1" x14ac:dyDescent="0.2">
      <c r="A37" s="92" t="s">
        <v>13</v>
      </c>
      <c r="B37" s="174"/>
      <c r="C37" s="57">
        <f>SUM(C6:C34)</f>
        <v>25429483.884</v>
      </c>
      <c r="D37" s="57">
        <f>SUM(D6:D34)</f>
        <v>26261790.435999997</v>
      </c>
      <c r="E37" s="93">
        <f>SUM(E6:E36)</f>
        <v>86349.51844</v>
      </c>
      <c r="F37" s="57">
        <f>SUM(F6:F34)</f>
        <v>1073252.7239999999</v>
      </c>
      <c r="G37" s="57">
        <f>SUM(G6:G36)</f>
        <v>5351414.4411148857</v>
      </c>
      <c r="H37" s="93">
        <f>SUM(H5:H34)</f>
        <v>65982.356</v>
      </c>
      <c r="I37" s="57">
        <f>SUM(I6:I36)</f>
        <v>3036773.5954</v>
      </c>
      <c r="J37" s="57">
        <f>SUM(J6:J34)</f>
        <v>663322.79200000025</v>
      </c>
      <c r="K37" s="93">
        <f>SUM(K6:K36)</f>
        <v>62923</v>
      </c>
      <c r="L37" s="57">
        <f>SUM(L6:L36)</f>
        <v>30608924.231999997</v>
      </c>
      <c r="M37" s="58">
        <f>SUM(C37:L37)</f>
        <v>92640216.978954881</v>
      </c>
    </row>
    <row r="38" spans="1:13" ht="6.75" customHeight="1" x14ac:dyDescent="0.2"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</row>
    <row r="39" spans="1:13" ht="18" customHeight="1" x14ac:dyDescent="0.2">
      <c r="A39" s="27" t="s">
        <v>123</v>
      </c>
      <c r="B39" s="27"/>
      <c r="C39" s="62"/>
      <c r="D39" s="62"/>
      <c r="E39" s="62"/>
      <c r="F39" s="63"/>
      <c r="G39" s="64"/>
      <c r="H39" s="65"/>
      <c r="I39" s="65"/>
      <c r="J39" s="66"/>
      <c r="K39" s="67"/>
      <c r="L39" s="66"/>
      <c r="M39" s="68"/>
    </row>
  </sheetData>
  <mergeCells count="2">
    <mergeCell ref="A1:M1"/>
    <mergeCell ref="A2:M2"/>
  </mergeCells>
  <printOptions horizontalCentered="1"/>
  <pageMargins left="0.5" right="0.5" top="0.66" bottom="0.5" header="0.25" footer="0.25"/>
  <pageSetup paperSize="9" scale="4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showGridLines="0" workbookViewId="0">
      <pane xSplit="1" ySplit="4" topLeftCell="C5" activePane="bottomRight" state="frozen"/>
      <selection activeCell="I1" sqref="I1"/>
      <selection pane="topRight" activeCell="I1" sqref="I1"/>
      <selection pane="bottomLeft" activeCell="I1" sqref="I1"/>
      <selection pane="bottomRight" activeCell="K11" sqref="K11"/>
    </sheetView>
  </sheetViews>
  <sheetFormatPr defaultRowHeight="12.75" x14ac:dyDescent="0.2"/>
  <cols>
    <col min="1" max="1" width="47.140625" style="115" bestFit="1" customWidth="1"/>
    <col min="2" max="7" width="12.5703125" style="131" customWidth="1"/>
    <col min="8" max="9" width="12.5703125" style="132" customWidth="1"/>
    <col min="10" max="12" width="12.5703125" style="131" customWidth="1"/>
    <col min="13" max="13" width="13.5703125" style="131" customWidth="1"/>
    <col min="14" max="14" width="29.28515625" style="2" bestFit="1" customWidth="1"/>
    <col min="15" max="16384" width="9.140625" style="9"/>
  </cols>
  <sheetData>
    <row r="1" spans="1:14" s="136" customFormat="1" ht="20.100000000000001" customHeight="1" x14ac:dyDescent="0.25">
      <c r="A1" s="186" t="s">
        <v>42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35"/>
    </row>
    <row r="2" spans="1:14" s="137" customFormat="1" ht="20.100000000000001" customHeight="1" x14ac:dyDescent="0.25">
      <c r="A2" s="186" t="s">
        <v>57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35"/>
    </row>
    <row r="3" spans="1:14" s="7" customFormat="1" ht="17.25" customHeight="1" x14ac:dyDescent="0.2">
      <c r="A3" s="94"/>
      <c r="B3" s="133"/>
      <c r="C3" s="125"/>
      <c r="D3" s="125"/>
      <c r="E3" s="134"/>
      <c r="F3" s="125"/>
      <c r="G3" s="125"/>
      <c r="H3" s="134"/>
      <c r="I3" s="125"/>
      <c r="J3" s="125"/>
      <c r="K3" s="134"/>
      <c r="L3" s="125"/>
      <c r="M3" s="138" t="s">
        <v>45</v>
      </c>
      <c r="N3"/>
    </row>
    <row r="4" spans="1:14" s="8" customFormat="1" ht="26.25" customHeight="1" x14ac:dyDescent="0.2">
      <c r="A4" s="33"/>
      <c r="B4" s="33" t="s">
        <v>46</v>
      </c>
      <c r="C4" s="33" t="s">
        <v>47</v>
      </c>
      <c r="D4" s="33" t="s">
        <v>48</v>
      </c>
      <c r="E4" s="33" t="s">
        <v>54</v>
      </c>
      <c r="F4" s="33" t="s">
        <v>5</v>
      </c>
      <c r="G4" s="33" t="s">
        <v>53</v>
      </c>
      <c r="H4" s="33" t="s">
        <v>56</v>
      </c>
      <c r="I4" s="33" t="s">
        <v>8</v>
      </c>
      <c r="J4" s="33" t="s">
        <v>9</v>
      </c>
      <c r="K4" s="33" t="s">
        <v>55</v>
      </c>
      <c r="L4" s="33" t="s">
        <v>11</v>
      </c>
      <c r="M4" s="95" t="s">
        <v>13</v>
      </c>
      <c r="N4" s="14"/>
    </row>
    <row r="5" spans="1:14" s="8" customFormat="1" ht="12" customHeight="1" x14ac:dyDescent="0.2">
      <c r="A5" s="96"/>
      <c r="B5" s="97"/>
      <c r="C5" s="97"/>
      <c r="D5" s="97"/>
      <c r="E5" s="98"/>
      <c r="F5" s="99"/>
      <c r="G5" s="99"/>
      <c r="H5" s="100"/>
      <c r="I5" s="101"/>
      <c r="J5" s="102"/>
      <c r="K5" s="103"/>
      <c r="L5" s="102"/>
      <c r="M5" s="104"/>
      <c r="N5" s="2"/>
    </row>
    <row r="6" spans="1:14" s="8" customFormat="1" ht="15.75" customHeight="1" x14ac:dyDescent="0.2">
      <c r="A6" s="35" t="s">
        <v>14</v>
      </c>
      <c r="B6" s="105">
        <v>34513</v>
      </c>
      <c r="C6" s="105">
        <v>22345</v>
      </c>
      <c r="D6" s="105">
        <v>0</v>
      </c>
      <c r="E6" s="105">
        <v>0</v>
      </c>
      <c r="F6" s="105">
        <v>5783</v>
      </c>
      <c r="G6" s="105">
        <v>17896</v>
      </c>
      <c r="H6" s="105">
        <v>0</v>
      </c>
      <c r="I6" s="105">
        <v>0</v>
      </c>
      <c r="J6" s="105">
        <v>7222</v>
      </c>
      <c r="K6" s="105">
        <v>250</v>
      </c>
      <c r="L6" s="105">
        <v>14755</v>
      </c>
      <c r="M6" s="106">
        <f t="shared" ref="M6:M33" si="0">SUM(B6:L6)</f>
        <v>102764</v>
      </c>
      <c r="N6" s="15"/>
    </row>
    <row r="7" spans="1:14" s="8" customFormat="1" ht="15.75" customHeight="1" x14ac:dyDescent="0.2">
      <c r="A7" s="35" t="s">
        <v>15</v>
      </c>
      <c r="B7" s="105">
        <v>201723</v>
      </c>
      <c r="C7" s="105">
        <v>186567</v>
      </c>
      <c r="D7" s="105">
        <v>0</v>
      </c>
      <c r="E7" s="105">
        <v>0</v>
      </c>
      <c r="F7" s="105">
        <v>6087</v>
      </c>
      <c r="G7" s="105">
        <v>50725</v>
      </c>
      <c r="H7" s="105">
        <v>0</v>
      </c>
      <c r="I7" s="105">
        <v>52260</v>
      </c>
      <c r="J7" s="105">
        <v>0</v>
      </c>
      <c r="K7" s="105">
        <v>14975</v>
      </c>
      <c r="L7" s="105">
        <v>254816</v>
      </c>
      <c r="M7" s="106">
        <f t="shared" si="0"/>
        <v>767153</v>
      </c>
      <c r="N7" s="15"/>
    </row>
    <row r="8" spans="1:14" s="8" customFormat="1" ht="15.75" customHeight="1" x14ac:dyDescent="0.2">
      <c r="A8" s="35" t="s">
        <v>16</v>
      </c>
      <c r="B8" s="105">
        <v>491783</v>
      </c>
      <c r="C8" s="105">
        <v>657155</v>
      </c>
      <c r="D8" s="105">
        <v>0</v>
      </c>
      <c r="E8" s="105">
        <v>290</v>
      </c>
      <c r="F8" s="105">
        <v>125500</v>
      </c>
      <c r="G8" s="105">
        <v>104053</v>
      </c>
      <c r="H8" s="105">
        <v>1500</v>
      </c>
      <c r="I8" s="105">
        <v>307905</v>
      </c>
      <c r="J8" s="105">
        <v>0</v>
      </c>
      <c r="K8" s="105">
        <v>0</v>
      </c>
      <c r="L8" s="105">
        <v>175000</v>
      </c>
      <c r="M8" s="106">
        <f t="shared" si="0"/>
        <v>1863186</v>
      </c>
      <c r="N8" s="15"/>
    </row>
    <row r="9" spans="1:14" s="8" customFormat="1" ht="15.75" customHeight="1" x14ac:dyDescent="0.2">
      <c r="A9" s="35" t="s">
        <v>17</v>
      </c>
      <c r="B9" s="105">
        <v>15751</v>
      </c>
      <c r="C9" s="105">
        <v>141442</v>
      </c>
      <c r="D9" s="105">
        <v>0</v>
      </c>
      <c r="E9" s="105">
        <v>2</v>
      </c>
      <c r="F9" s="105">
        <v>6731</v>
      </c>
      <c r="G9" s="105">
        <v>28957</v>
      </c>
      <c r="H9" s="105">
        <v>216</v>
      </c>
      <c r="I9" s="105">
        <v>13845</v>
      </c>
      <c r="J9" s="105">
        <v>6840</v>
      </c>
      <c r="K9" s="105">
        <v>917</v>
      </c>
      <c r="L9" s="105">
        <v>44229</v>
      </c>
      <c r="M9" s="106">
        <f t="shared" si="0"/>
        <v>258930</v>
      </c>
      <c r="N9" s="15"/>
    </row>
    <row r="10" spans="1:14" s="8" customFormat="1" ht="15.75" customHeight="1" x14ac:dyDescent="0.2">
      <c r="A10" s="35" t="s">
        <v>18</v>
      </c>
      <c r="B10" s="105">
        <v>72125</v>
      </c>
      <c r="C10" s="105">
        <v>12980636</v>
      </c>
      <c r="D10" s="105">
        <v>117766</v>
      </c>
      <c r="E10" s="105">
        <v>0</v>
      </c>
      <c r="F10" s="105">
        <v>30091</v>
      </c>
      <c r="G10" s="105">
        <v>75</v>
      </c>
      <c r="H10" s="105">
        <v>0</v>
      </c>
      <c r="I10" s="105">
        <v>0</v>
      </c>
      <c r="J10" s="105">
        <v>0</v>
      </c>
      <c r="K10" s="105">
        <v>0</v>
      </c>
      <c r="L10" s="105">
        <v>4605479</v>
      </c>
      <c r="M10" s="106">
        <f t="shared" si="0"/>
        <v>17806172</v>
      </c>
      <c r="N10" s="15"/>
    </row>
    <row r="11" spans="1:14" s="8" customFormat="1" ht="15.75" customHeight="1" x14ac:dyDescent="0.2">
      <c r="A11" s="35" t="s">
        <v>19</v>
      </c>
      <c r="B11" s="105">
        <v>5374471</v>
      </c>
      <c r="C11" s="105">
        <f>1106208-374233-313169-1052</f>
        <v>417754</v>
      </c>
      <c r="D11" s="105">
        <f>249704+38685</f>
        <v>288389</v>
      </c>
      <c r="E11" s="105">
        <v>0</v>
      </c>
      <c r="F11" s="105">
        <v>237411</v>
      </c>
      <c r="G11" s="105">
        <v>2507680</v>
      </c>
      <c r="H11" s="105">
        <v>802</v>
      </c>
      <c r="I11" s="105">
        <v>95430</v>
      </c>
      <c r="J11" s="105">
        <v>129400</v>
      </c>
      <c r="K11" s="105">
        <v>0</v>
      </c>
      <c r="L11" s="105">
        <v>0</v>
      </c>
      <c r="M11" s="106">
        <f t="shared" si="0"/>
        <v>9051337</v>
      </c>
      <c r="N11" s="15"/>
    </row>
    <row r="12" spans="1:14" s="8" customFormat="1" ht="15.75" customHeight="1" x14ac:dyDescent="0.2">
      <c r="A12" s="35" t="s">
        <v>20</v>
      </c>
      <c r="B12" s="105">
        <v>27317</v>
      </c>
      <c r="C12" s="105">
        <f>20000+64312+159341+10000+120580</f>
        <v>374233</v>
      </c>
      <c r="D12" s="105">
        <f>70871+55417</f>
        <v>126288</v>
      </c>
      <c r="E12" s="105">
        <v>20564</v>
      </c>
      <c r="F12" s="105">
        <f>86283+2746</f>
        <v>89029</v>
      </c>
      <c r="G12" s="105">
        <v>108828</v>
      </c>
      <c r="H12" s="105">
        <v>0</v>
      </c>
      <c r="I12" s="105">
        <v>0</v>
      </c>
      <c r="J12" s="105">
        <v>0</v>
      </c>
      <c r="K12" s="105">
        <v>0</v>
      </c>
      <c r="L12" s="105">
        <f>5685907-1011</f>
        <v>5684896</v>
      </c>
      <c r="M12" s="106">
        <f t="shared" si="0"/>
        <v>6431155</v>
      </c>
      <c r="N12" s="15"/>
    </row>
    <row r="13" spans="1:14" s="8" customFormat="1" ht="15.75" customHeight="1" x14ac:dyDescent="0.2">
      <c r="A13" s="35" t="s">
        <v>21</v>
      </c>
      <c r="B13" s="105">
        <v>488863</v>
      </c>
      <c r="C13" s="105">
        <f>32724+2203+18277+17055+242909</f>
        <v>313168</v>
      </c>
      <c r="D13" s="105">
        <v>339536</v>
      </c>
      <c r="E13" s="105">
        <v>0</v>
      </c>
      <c r="F13" s="105">
        <v>78195</v>
      </c>
      <c r="G13" s="105">
        <v>2719</v>
      </c>
      <c r="H13" s="105">
        <v>0</v>
      </c>
      <c r="I13" s="105">
        <v>0</v>
      </c>
      <c r="J13" s="105">
        <v>80103</v>
      </c>
      <c r="K13" s="105">
        <v>0</v>
      </c>
      <c r="L13" s="105">
        <v>0</v>
      </c>
      <c r="M13" s="106">
        <f t="shared" si="0"/>
        <v>1302584</v>
      </c>
      <c r="N13" s="15"/>
    </row>
    <row r="14" spans="1:14" s="8" customFormat="1" ht="15.75" customHeight="1" x14ac:dyDescent="0.2">
      <c r="A14" s="35" t="s">
        <v>22</v>
      </c>
      <c r="B14" s="105">
        <v>3344608</v>
      </c>
      <c r="C14" s="105">
        <v>1052</v>
      </c>
      <c r="D14" s="105">
        <v>0</v>
      </c>
      <c r="E14" s="105">
        <v>0</v>
      </c>
      <c r="F14" s="105">
        <v>0</v>
      </c>
      <c r="G14" s="105">
        <v>538972</v>
      </c>
      <c r="H14" s="105">
        <v>0</v>
      </c>
      <c r="I14" s="105">
        <v>0</v>
      </c>
      <c r="J14" s="105">
        <v>0</v>
      </c>
      <c r="K14" s="105">
        <v>0</v>
      </c>
      <c r="L14" s="105">
        <v>1011</v>
      </c>
      <c r="M14" s="106">
        <f t="shared" si="0"/>
        <v>3885643</v>
      </c>
      <c r="N14" s="15"/>
    </row>
    <row r="15" spans="1:14" s="8" customFormat="1" ht="15.75" customHeight="1" x14ac:dyDescent="0.2">
      <c r="A15" s="35" t="s">
        <v>23</v>
      </c>
      <c r="B15" s="105">
        <v>3101906</v>
      </c>
      <c r="C15" s="105">
        <v>12405</v>
      </c>
      <c r="D15" s="105">
        <v>250248</v>
      </c>
      <c r="E15" s="105">
        <v>999</v>
      </c>
      <c r="F15" s="105">
        <v>16967</v>
      </c>
      <c r="G15" s="105">
        <v>536149</v>
      </c>
      <c r="H15" s="105">
        <v>0</v>
      </c>
      <c r="I15" s="105">
        <v>1038897</v>
      </c>
      <c r="J15" s="105">
        <v>0</v>
      </c>
      <c r="K15" s="105">
        <v>0</v>
      </c>
      <c r="L15" s="105">
        <v>9413305</v>
      </c>
      <c r="M15" s="106">
        <f t="shared" si="0"/>
        <v>14370876</v>
      </c>
      <c r="N15" s="15"/>
    </row>
    <row r="16" spans="1:14" s="8" customFormat="1" ht="15.75" customHeight="1" x14ac:dyDescent="0.2">
      <c r="A16" s="35" t="s">
        <v>24</v>
      </c>
      <c r="B16" s="105">
        <v>670002</v>
      </c>
      <c r="C16" s="105">
        <v>45395</v>
      </c>
      <c r="D16" s="105">
        <v>59193</v>
      </c>
      <c r="E16" s="105">
        <v>0</v>
      </c>
      <c r="F16" s="105">
        <v>28323</v>
      </c>
      <c r="G16" s="105">
        <v>152550</v>
      </c>
      <c r="H16" s="105">
        <v>0</v>
      </c>
      <c r="I16" s="105">
        <v>0</v>
      </c>
      <c r="J16" s="105">
        <v>43000</v>
      </c>
      <c r="K16" s="105">
        <v>0</v>
      </c>
      <c r="L16" s="105">
        <v>0</v>
      </c>
      <c r="M16" s="106">
        <f t="shared" si="0"/>
        <v>998463</v>
      </c>
      <c r="N16" s="15"/>
    </row>
    <row r="17" spans="1:14" s="8" customFormat="1" ht="15.75" customHeight="1" x14ac:dyDescent="0.2">
      <c r="A17" s="35" t="s">
        <v>25</v>
      </c>
      <c r="B17" s="105">
        <v>2320458</v>
      </c>
      <c r="C17" s="105">
        <v>209718</v>
      </c>
      <c r="D17" s="105">
        <v>110904</v>
      </c>
      <c r="E17" s="105">
        <v>4903</v>
      </c>
      <c r="F17" s="105">
        <v>123171</v>
      </c>
      <c r="G17" s="105">
        <v>553743</v>
      </c>
      <c r="H17" s="105">
        <v>18072</v>
      </c>
      <c r="I17" s="105">
        <v>171664</v>
      </c>
      <c r="J17" s="105">
        <v>110391</v>
      </c>
      <c r="K17" s="105">
        <v>417</v>
      </c>
      <c r="L17" s="105">
        <v>2042612</v>
      </c>
      <c r="M17" s="106">
        <f t="shared" si="0"/>
        <v>5666053</v>
      </c>
      <c r="N17" s="15"/>
    </row>
    <row r="18" spans="1:14" s="8" customFormat="1" ht="15.75" customHeight="1" x14ac:dyDescent="0.2">
      <c r="A18" s="35" t="s">
        <v>26</v>
      </c>
      <c r="B18" s="105">
        <v>616049</v>
      </c>
      <c r="C18" s="105">
        <v>39671</v>
      </c>
      <c r="D18" s="105">
        <v>0</v>
      </c>
      <c r="E18" s="105">
        <v>0</v>
      </c>
      <c r="F18" s="105">
        <v>0</v>
      </c>
      <c r="G18" s="105">
        <v>59053</v>
      </c>
      <c r="H18" s="105">
        <v>612</v>
      </c>
      <c r="I18" s="105">
        <v>0</v>
      </c>
      <c r="J18" s="105">
        <v>0</v>
      </c>
      <c r="K18" s="105">
        <v>0</v>
      </c>
      <c r="L18" s="105">
        <v>10192</v>
      </c>
      <c r="M18" s="106">
        <f t="shared" si="0"/>
        <v>725577</v>
      </c>
      <c r="N18" s="15"/>
    </row>
    <row r="19" spans="1:14" s="8" customFormat="1" ht="15.75" customHeight="1" x14ac:dyDescent="0.2">
      <c r="A19" s="35" t="s">
        <v>27</v>
      </c>
      <c r="B19" s="105">
        <v>104914</v>
      </c>
      <c r="C19" s="105">
        <v>115828</v>
      </c>
      <c r="D19" s="105">
        <v>17874</v>
      </c>
      <c r="E19" s="105">
        <v>2013</v>
      </c>
      <c r="F19" s="105">
        <v>26444</v>
      </c>
      <c r="G19" s="105">
        <v>37843</v>
      </c>
      <c r="H19" s="105">
        <v>430</v>
      </c>
      <c r="I19" s="105">
        <v>45969</v>
      </c>
      <c r="J19" s="105">
        <v>12031</v>
      </c>
      <c r="K19" s="105">
        <v>1120</v>
      </c>
      <c r="L19" s="105">
        <v>125469</v>
      </c>
      <c r="M19" s="106">
        <f t="shared" si="0"/>
        <v>489935</v>
      </c>
      <c r="N19" s="15"/>
    </row>
    <row r="20" spans="1:14" s="8" customFormat="1" ht="15.75" customHeight="1" x14ac:dyDescent="0.2">
      <c r="A20" s="35" t="s">
        <v>28</v>
      </c>
      <c r="B20" s="105">
        <v>9984</v>
      </c>
      <c r="C20" s="105">
        <v>0</v>
      </c>
      <c r="D20" s="105">
        <v>3250</v>
      </c>
      <c r="E20" s="105">
        <v>0</v>
      </c>
      <c r="F20" s="105">
        <v>0</v>
      </c>
      <c r="G20" s="105">
        <v>8044</v>
      </c>
      <c r="H20" s="105">
        <v>0</v>
      </c>
      <c r="I20" s="105">
        <v>0</v>
      </c>
      <c r="J20" s="105">
        <v>0</v>
      </c>
      <c r="K20" s="105">
        <v>0</v>
      </c>
      <c r="L20" s="105">
        <v>342457</v>
      </c>
      <c r="M20" s="106">
        <f t="shared" si="0"/>
        <v>363735</v>
      </c>
      <c r="N20" s="15"/>
    </row>
    <row r="21" spans="1:14" s="8" customFormat="1" ht="15.75" customHeight="1" x14ac:dyDescent="0.2">
      <c r="A21" s="35" t="s">
        <v>29</v>
      </c>
      <c r="B21" s="105">
        <v>22500</v>
      </c>
      <c r="C21" s="105">
        <v>0</v>
      </c>
      <c r="D21" s="105">
        <v>0</v>
      </c>
      <c r="E21" s="105">
        <v>0</v>
      </c>
      <c r="F21" s="105">
        <v>0</v>
      </c>
      <c r="G21" s="105">
        <v>1356</v>
      </c>
      <c r="H21" s="105">
        <v>217</v>
      </c>
      <c r="I21" s="105">
        <v>0</v>
      </c>
      <c r="J21" s="105">
        <v>0</v>
      </c>
      <c r="K21" s="105">
        <v>0</v>
      </c>
      <c r="L21" s="105">
        <v>0</v>
      </c>
      <c r="M21" s="106">
        <f t="shared" si="0"/>
        <v>24073</v>
      </c>
      <c r="N21" s="15"/>
    </row>
    <row r="22" spans="1:14" s="8" customFormat="1" ht="15.75" customHeight="1" x14ac:dyDescent="0.2">
      <c r="A22" s="35" t="s">
        <v>30</v>
      </c>
      <c r="B22" s="105">
        <v>18296</v>
      </c>
      <c r="C22" s="105">
        <v>0</v>
      </c>
      <c r="D22" s="105">
        <v>0</v>
      </c>
      <c r="E22" s="105">
        <v>0</v>
      </c>
      <c r="F22" s="105">
        <v>8949</v>
      </c>
      <c r="G22" s="105">
        <v>32326</v>
      </c>
      <c r="H22" s="105">
        <v>0</v>
      </c>
      <c r="I22" s="105">
        <v>0</v>
      </c>
      <c r="J22" s="105">
        <v>0</v>
      </c>
      <c r="K22" s="105">
        <v>0</v>
      </c>
      <c r="L22" s="105">
        <v>4512</v>
      </c>
      <c r="M22" s="106">
        <f t="shared" si="0"/>
        <v>64083</v>
      </c>
      <c r="N22" s="15"/>
    </row>
    <row r="23" spans="1:14" s="8" customFormat="1" ht="15.75" customHeight="1" x14ac:dyDescent="0.2">
      <c r="A23" s="35" t="s">
        <v>31</v>
      </c>
      <c r="B23" s="105">
        <f>13439+2040</f>
        <v>15479</v>
      </c>
      <c r="C23" s="105">
        <v>0</v>
      </c>
      <c r="D23" s="105">
        <v>0</v>
      </c>
      <c r="E23" s="105">
        <v>0</v>
      </c>
      <c r="F23" s="105">
        <f>34784+26500</f>
        <v>61284</v>
      </c>
      <c r="G23" s="105">
        <f>10963+58112</f>
        <v>69075</v>
      </c>
      <c r="H23" s="105">
        <v>0</v>
      </c>
      <c r="I23" s="105">
        <v>0</v>
      </c>
      <c r="J23" s="105">
        <v>0</v>
      </c>
      <c r="K23" s="105">
        <v>0</v>
      </c>
      <c r="L23" s="105">
        <v>341625</v>
      </c>
      <c r="M23" s="106">
        <f t="shared" si="0"/>
        <v>487463</v>
      </c>
      <c r="N23" s="15"/>
    </row>
    <row r="24" spans="1:14" s="8" customFormat="1" ht="15.75" customHeight="1" x14ac:dyDescent="0.2">
      <c r="A24" s="35" t="s">
        <v>32</v>
      </c>
      <c r="B24" s="105">
        <v>20</v>
      </c>
      <c r="C24" s="105">
        <v>67</v>
      </c>
      <c r="D24" s="105">
        <v>363</v>
      </c>
      <c r="E24" s="105">
        <v>17</v>
      </c>
      <c r="F24" s="105">
        <v>90</v>
      </c>
      <c r="G24" s="105">
        <v>7</v>
      </c>
      <c r="H24" s="105">
        <v>2</v>
      </c>
      <c r="I24" s="105">
        <v>48</v>
      </c>
      <c r="J24" s="105">
        <v>0</v>
      </c>
      <c r="K24" s="105">
        <v>240</v>
      </c>
      <c r="L24" s="105">
        <v>16972</v>
      </c>
      <c r="M24" s="106">
        <f t="shared" si="0"/>
        <v>17826</v>
      </c>
      <c r="N24" s="15"/>
    </row>
    <row r="25" spans="1:14" s="8" customFormat="1" ht="15.75" customHeight="1" x14ac:dyDescent="0.2">
      <c r="A25" s="35" t="s">
        <v>33</v>
      </c>
      <c r="B25" s="105">
        <v>340096</v>
      </c>
      <c r="C25" s="105">
        <v>59062</v>
      </c>
      <c r="D25" s="105">
        <v>98462</v>
      </c>
      <c r="E25" s="105">
        <v>1148</v>
      </c>
      <c r="F25" s="105">
        <v>25416</v>
      </c>
      <c r="G25" s="105">
        <v>102087</v>
      </c>
      <c r="H25" s="105">
        <v>22999</v>
      </c>
      <c r="I25" s="105">
        <v>24329</v>
      </c>
      <c r="J25" s="105">
        <v>97203</v>
      </c>
      <c r="K25" s="105">
        <v>1473</v>
      </c>
      <c r="L25" s="105">
        <v>514364</v>
      </c>
      <c r="M25" s="106">
        <f t="shared" si="0"/>
        <v>1286639</v>
      </c>
      <c r="N25" s="15"/>
    </row>
    <row r="26" spans="1:14" s="8" customFormat="1" ht="15.75" customHeight="1" x14ac:dyDescent="0.2">
      <c r="A26" s="35" t="s">
        <v>34</v>
      </c>
      <c r="B26" s="105">
        <f>2560809+114000+50000</f>
        <v>2724809</v>
      </c>
      <c r="C26" s="105">
        <v>349960</v>
      </c>
      <c r="D26" s="105">
        <v>0</v>
      </c>
      <c r="E26" s="105">
        <v>28642</v>
      </c>
      <c r="F26" s="105">
        <v>378</v>
      </c>
      <c r="G26" s="105">
        <v>114979</v>
      </c>
      <c r="H26" s="105">
        <f>40361-23001</f>
        <v>17360</v>
      </c>
      <c r="I26" s="105">
        <v>647136</v>
      </c>
      <c r="J26" s="105">
        <v>0</v>
      </c>
      <c r="K26" s="105">
        <v>15027</v>
      </c>
      <c r="L26" s="105">
        <v>3333169</v>
      </c>
      <c r="M26" s="106">
        <f t="shared" si="0"/>
        <v>7231460</v>
      </c>
      <c r="N26" s="15"/>
    </row>
    <row r="27" spans="1:14" s="8" customFormat="1" ht="15.75" customHeight="1" x14ac:dyDescent="0.2">
      <c r="A27" s="35" t="s">
        <v>35</v>
      </c>
      <c r="B27" s="105">
        <f>722006+71246+62811</f>
        <v>856063</v>
      </c>
      <c r="C27" s="105">
        <v>205000</v>
      </c>
      <c r="D27" s="105">
        <v>0</v>
      </c>
      <c r="E27" s="105">
        <v>17206</v>
      </c>
      <c r="F27" s="105">
        <v>85500</v>
      </c>
      <c r="G27" s="105">
        <v>0</v>
      </c>
      <c r="H27" s="105">
        <v>0</v>
      </c>
      <c r="I27" s="105">
        <v>10000</v>
      </c>
      <c r="J27" s="105">
        <v>26895</v>
      </c>
      <c r="K27" s="105">
        <v>8161</v>
      </c>
      <c r="L27" s="105">
        <v>1068414</v>
      </c>
      <c r="M27" s="106">
        <f t="shared" si="0"/>
        <v>2277239</v>
      </c>
      <c r="N27" s="15"/>
    </row>
    <row r="28" spans="1:14" s="8" customFormat="1" ht="15.75" customHeight="1" x14ac:dyDescent="0.2">
      <c r="A28" s="35" t="s">
        <v>36</v>
      </c>
      <c r="B28" s="105">
        <f>45299+328+23770</f>
        <v>69397</v>
      </c>
      <c r="C28" s="105">
        <v>21887</v>
      </c>
      <c r="D28" s="105">
        <v>24505</v>
      </c>
      <c r="E28" s="105">
        <v>496</v>
      </c>
      <c r="F28" s="105">
        <v>3518</v>
      </c>
      <c r="G28" s="105">
        <v>64601</v>
      </c>
      <c r="H28" s="105">
        <v>2535</v>
      </c>
      <c r="I28" s="105">
        <v>1956</v>
      </c>
      <c r="J28" s="105">
        <v>0</v>
      </c>
      <c r="K28" s="105">
        <v>0</v>
      </c>
      <c r="L28" s="105">
        <v>3343</v>
      </c>
      <c r="M28" s="106">
        <f t="shared" si="0"/>
        <v>192238</v>
      </c>
      <c r="N28" s="15"/>
    </row>
    <row r="29" spans="1:14" s="8" customFormat="1" ht="15.75" customHeight="1" x14ac:dyDescent="0.2">
      <c r="A29" s="35" t="s">
        <v>37</v>
      </c>
      <c r="B29" s="105">
        <v>23962</v>
      </c>
      <c r="C29" s="105">
        <v>6563392</v>
      </c>
      <c r="D29" s="105">
        <v>388</v>
      </c>
      <c r="E29" s="105">
        <v>0</v>
      </c>
      <c r="F29" s="105">
        <v>9429</v>
      </c>
      <c r="G29" s="105">
        <v>0</v>
      </c>
      <c r="H29" s="105">
        <v>0</v>
      </c>
      <c r="I29" s="105">
        <v>0</v>
      </c>
      <c r="J29" s="105">
        <v>77144</v>
      </c>
      <c r="K29" s="105">
        <v>0</v>
      </c>
      <c r="L29" s="105">
        <v>168967</v>
      </c>
      <c r="M29" s="106">
        <f t="shared" si="0"/>
        <v>6843282</v>
      </c>
      <c r="N29" s="15"/>
    </row>
    <row r="30" spans="1:14" s="8" customFormat="1" ht="15.75" customHeight="1" x14ac:dyDescent="0.2">
      <c r="A30" s="35" t="s">
        <v>38</v>
      </c>
      <c r="B30" s="105">
        <v>274</v>
      </c>
      <c r="C30" s="105">
        <v>14699</v>
      </c>
      <c r="D30" s="105">
        <v>11098</v>
      </c>
      <c r="E30" s="105">
        <v>0</v>
      </c>
      <c r="F30" s="107">
        <v>-56</v>
      </c>
      <c r="G30" s="105">
        <v>0</v>
      </c>
      <c r="H30" s="105">
        <v>0</v>
      </c>
      <c r="I30" s="105">
        <v>0</v>
      </c>
      <c r="J30" s="105">
        <v>0</v>
      </c>
      <c r="K30" s="105">
        <v>0</v>
      </c>
      <c r="L30" s="105">
        <v>48920</v>
      </c>
      <c r="M30" s="106">
        <f t="shared" si="0"/>
        <v>74935</v>
      </c>
      <c r="N30" s="15"/>
    </row>
    <row r="31" spans="1:14" s="8" customFormat="1" ht="15.75" customHeight="1" x14ac:dyDescent="0.2">
      <c r="A31" s="35" t="s">
        <v>39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  <c r="J31" s="105">
        <v>0</v>
      </c>
      <c r="K31" s="105">
        <v>0</v>
      </c>
      <c r="L31" s="105">
        <v>0</v>
      </c>
      <c r="M31" s="106">
        <f t="shared" si="0"/>
        <v>0</v>
      </c>
      <c r="N31" s="15"/>
    </row>
    <row r="32" spans="1:14" s="8" customFormat="1" ht="15.75" customHeight="1" x14ac:dyDescent="0.2">
      <c r="A32" s="35" t="s">
        <v>40</v>
      </c>
      <c r="B32" s="105">
        <v>111031</v>
      </c>
      <c r="C32" s="105">
        <v>136683</v>
      </c>
      <c r="D32" s="105">
        <v>7344</v>
      </c>
      <c r="E32" s="105">
        <v>0</v>
      </c>
      <c r="F32" s="105">
        <v>14254</v>
      </c>
      <c r="G32" s="105">
        <v>0</v>
      </c>
      <c r="H32" s="105">
        <v>4236</v>
      </c>
      <c r="I32" s="105">
        <v>4633</v>
      </c>
      <c r="J32" s="105">
        <v>7759</v>
      </c>
      <c r="K32" s="105">
        <v>747</v>
      </c>
      <c r="L32" s="105">
        <v>2469</v>
      </c>
      <c r="M32" s="106">
        <f t="shared" si="0"/>
        <v>289156</v>
      </c>
      <c r="N32" s="15"/>
    </row>
    <row r="33" spans="1:33" s="8" customFormat="1" ht="15.75" customHeight="1" x14ac:dyDescent="0.2">
      <c r="A33" s="35" t="s">
        <v>41</v>
      </c>
      <c r="B33" s="105">
        <v>-20000</v>
      </c>
      <c r="C33" s="105">
        <v>0</v>
      </c>
      <c r="D33" s="105">
        <v>390982</v>
      </c>
      <c r="E33" s="105">
        <v>8951</v>
      </c>
      <c r="F33" s="105">
        <v>0</v>
      </c>
      <c r="G33" s="105">
        <v>36775</v>
      </c>
      <c r="H33" s="105">
        <v>0</v>
      </c>
      <c r="I33" s="105">
        <v>397099</v>
      </c>
      <c r="J33" s="105">
        <v>0</v>
      </c>
      <c r="K33" s="105">
        <v>0</v>
      </c>
      <c r="L33" s="105">
        <v>558436</v>
      </c>
      <c r="M33" s="106">
        <f t="shared" si="0"/>
        <v>1372243</v>
      </c>
      <c r="N33" s="15"/>
    </row>
    <row r="34" spans="1:33" s="8" customFormat="1" ht="12.75" customHeight="1" x14ac:dyDescent="0.2">
      <c r="A34" s="108"/>
      <c r="B34" s="109"/>
      <c r="C34" s="109"/>
      <c r="D34" s="109"/>
      <c r="E34" s="109"/>
      <c r="F34" s="109"/>
      <c r="G34" s="109"/>
      <c r="H34" s="110"/>
      <c r="I34" s="110"/>
      <c r="J34" s="110"/>
      <c r="K34" s="110"/>
      <c r="L34" s="110"/>
      <c r="M34" s="111"/>
      <c r="N34" s="15"/>
    </row>
    <row r="35" spans="1:33" s="8" customFormat="1" ht="20.25" customHeight="1" x14ac:dyDescent="0.2">
      <c r="A35" s="112" t="s">
        <v>13</v>
      </c>
      <c r="B35" s="113">
        <f>SUM(B6:B33)</f>
        <v>21036394</v>
      </c>
      <c r="C35" s="113">
        <f>SUM(C6:C33)</f>
        <v>22868119</v>
      </c>
      <c r="D35" s="113">
        <f>SUM(D6:D34)</f>
        <v>1846590</v>
      </c>
      <c r="E35" s="113">
        <f>SUM(E6:E34)</f>
        <v>85231</v>
      </c>
      <c r="F35" s="113">
        <f>SUM(F6:F33)</f>
        <v>982494</v>
      </c>
      <c r="G35" s="113">
        <f>SUM(G6:G34)</f>
        <v>5128493</v>
      </c>
      <c r="H35" s="113">
        <f>SUM(H5:H33)</f>
        <v>68981</v>
      </c>
      <c r="I35" s="113">
        <f>SUM(I6:I34)</f>
        <v>2811171</v>
      </c>
      <c r="J35" s="113">
        <f>SUM(J6:J34)</f>
        <v>597988</v>
      </c>
      <c r="K35" s="113">
        <f>SUM(K6:K34)</f>
        <v>43327</v>
      </c>
      <c r="L35" s="113">
        <f>SUM(L6:L33)</f>
        <v>28775412</v>
      </c>
      <c r="M35" s="114">
        <f>SUM(B35:L35)</f>
        <v>84244200</v>
      </c>
      <c r="N35" s="15"/>
    </row>
    <row r="36" spans="1:33" ht="15" customHeight="1" x14ac:dyDescent="0.2">
      <c r="B36" s="116"/>
      <c r="C36" s="117"/>
      <c r="D36" s="117"/>
      <c r="E36" s="118"/>
      <c r="F36" s="117"/>
      <c r="G36" s="117"/>
      <c r="H36" s="118"/>
      <c r="I36" s="117"/>
      <c r="J36" s="117"/>
      <c r="K36" s="118"/>
      <c r="L36" s="117"/>
      <c r="M36" s="119"/>
    </row>
    <row r="37" spans="1:33" x14ac:dyDescent="0.2">
      <c r="A37" s="27" t="s">
        <v>123</v>
      </c>
      <c r="B37" s="120"/>
      <c r="C37" s="120"/>
      <c r="D37" s="120"/>
      <c r="E37" s="120"/>
      <c r="F37" s="121"/>
      <c r="G37" s="122"/>
      <c r="H37" s="123"/>
      <c r="I37" s="123"/>
      <c r="J37" s="124"/>
      <c r="K37" s="125"/>
      <c r="L37" s="124"/>
      <c r="M37" s="126"/>
    </row>
    <row r="38" spans="1:33" x14ac:dyDescent="0.2">
      <c r="B38" s="127"/>
      <c r="C38" s="127"/>
      <c r="D38" s="127"/>
      <c r="E38" s="127"/>
      <c r="F38" s="127"/>
      <c r="G38" s="125"/>
      <c r="H38" s="123"/>
      <c r="I38" s="123"/>
      <c r="J38" s="127"/>
      <c r="K38" s="127"/>
      <c r="L38" s="127"/>
      <c r="M38" s="127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x14ac:dyDescent="0.2">
      <c r="A39" s="128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30"/>
    </row>
  </sheetData>
  <mergeCells count="2">
    <mergeCell ref="A1:M1"/>
    <mergeCell ref="A2:M2"/>
  </mergeCells>
  <printOptions horizontalCentered="1"/>
  <pageMargins left="0.5" right="0.5" top="0.66" bottom="0.5" header="0.25" footer="0.25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2"/>
  <sheetViews>
    <sheetView showGridLines="0" zoomScaleNormal="100" workbookViewId="0">
      <pane xSplit="1" ySplit="4" topLeftCell="C5" activePane="bottomRight" state="frozen"/>
      <selection activeCell="A3" sqref="A3"/>
      <selection pane="topRight" activeCell="B3" sqref="B3"/>
      <selection pane="bottomLeft" activeCell="A4" sqref="A4"/>
      <selection pane="bottomRight" activeCell="O7" sqref="O7"/>
    </sheetView>
  </sheetViews>
  <sheetFormatPr defaultRowHeight="12.75" x14ac:dyDescent="0.2"/>
  <cols>
    <col min="1" max="1" width="47.140625" style="115" bestFit="1" customWidth="1"/>
    <col min="2" max="7" width="12.28515625" style="131" customWidth="1"/>
    <col min="8" max="8" width="13.140625" style="132" customWidth="1"/>
    <col min="9" max="9" width="13" style="132" customWidth="1"/>
    <col min="10" max="14" width="13" style="131" customWidth="1"/>
    <col min="15" max="15" width="16.85546875" style="131" customWidth="1"/>
    <col min="16" max="16384" width="9.140625" style="9"/>
  </cols>
  <sheetData>
    <row r="1" spans="1:15" s="137" customFormat="1" ht="20.100000000000001" customHeight="1" x14ac:dyDescent="0.25">
      <c r="A1" s="189" t="s">
        <v>42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5" s="137" customFormat="1" ht="20.100000000000001" customHeight="1" x14ac:dyDescent="0.25">
      <c r="A2" s="188" t="s">
        <v>52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15" s="7" customFormat="1" ht="22.5" customHeight="1" x14ac:dyDescent="0.2">
      <c r="A3" s="9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38" t="s">
        <v>45</v>
      </c>
    </row>
    <row r="4" spans="1:15" s="8" customFormat="1" ht="30.75" customHeight="1" x14ac:dyDescent="0.2">
      <c r="A4" s="33"/>
      <c r="B4" s="33" t="s">
        <v>46</v>
      </c>
      <c r="C4" s="33" t="s">
        <v>47</v>
      </c>
      <c r="D4" s="33" t="s">
        <v>48</v>
      </c>
      <c r="E4" s="33" t="s">
        <v>4</v>
      </c>
      <c r="F4" s="33" t="s">
        <v>5</v>
      </c>
      <c r="G4" s="33" t="s">
        <v>49</v>
      </c>
      <c r="H4" s="33" t="s">
        <v>7</v>
      </c>
      <c r="I4" s="33" t="s">
        <v>8</v>
      </c>
      <c r="J4" s="33" t="s">
        <v>9</v>
      </c>
      <c r="K4" s="33" t="s">
        <v>50</v>
      </c>
      <c r="L4" s="33" t="s">
        <v>51</v>
      </c>
      <c r="M4" s="33" t="s">
        <v>11</v>
      </c>
      <c r="N4" s="33" t="s">
        <v>12</v>
      </c>
      <c r="O4" s="95" t="s">
        <v>13</v>
      </c>
    </row>
    <row r="5" spans="1:15" s="8" customFormat="1" ht="17.25" customHeight="1" x14ac:dyDescent="0.2">
      <c r="A5" s="96"/>
      <c r="B5" s="97"/>
      <c r="C5" s="97"/>
      <c r="D5" s="97"/>
      <c r="E5" s="139"/>
      <c r="F5" s="99"/>
      <c r="G5" s="99"/>
      <c r="H5" s="140"/>
      <c r="I5" s="101"/>
      <c r="J5" s="102"/>
      <c r="K5" s="102"/>
      <c r="L5" s="102"/>
      <c r="M5" s="102"/>
      <c r="N5" s="115"/>
      <c r="O5" s="104"/>
    </row>
    <row r="6" spans="1:15" s="8" customFormat="1" ht="17.25" customHeight="1" x14ac:dyDescent="0.2">
      <c r="A6" s="35" t="s">
        <v>14</v>
      </c>
      <c r="B6" s="105">
        <v>42789.749000000003</v>
      </c>
      <c r="C6" s="105">
        <v>27288.373</v>
      </c>
      <c r="D6" s="105">
        <v>0</v>
      </c>
      <c r="E6" s="105">
        <v>1E-3</v>
      </c>
      <c r="F6" s="105">
        <v>1452.9770000000001</v>
      </c>
      <c r="G6" s="105">
        <v>6990.9390000000003</v>
      </c>
      <c r="H6" s="105">
        <v>0</v>
      </c>
      <c r="I6" s="105">
        <v>0</v>
      </c>
      <c r="J6" s="105">
        <v>6344.3019999999997</v>
      </c>
      <c r="K6" s="105">
        <v>15326.571</v>
      </c>
      <c r="L6" s="105">
        <v>292.24700000000001</v>
      </c>
      <c r="M6" s="105">
        <v>0</v>
      </c>
      <c r="N6" s="105">
        <v>0</v>
      </c>
      <c r="O6" s="106">
        <f>SUM(B6:N6)</f>
        <v>100485.159</v>
      </c>
    </row>
    <row r="7" spans="1:15" s="8" customFormat="1" ht="17.25" customHeight="1" x14ac:dyDescent="0.2">
      <c r="A7" s="35" t="s">
        <v>15</v>
      </c>
      <c r="B7" s="105">
        <v>89687.989000000001</v>
      </c>
      <c r="C7" s="105">
        <v>139000</v>
      </c>
      <c r="D7" s="105">
        <v>0</v>
      </c>
      <c r="E7" s="105">
        <v>0</v>
      </c>
      <c r="F7" s="105">
        <v>1965.527</v>
      </c>
      <c r="G7" s="105">
        <v>18550</v>
      </c>
      <c r="H7" s="105">
        <v>0</v>
      </c>
      <c r="I7" s="105">
        <v>52754.59</v>
      </c>
      <c r="J7" s="105">
        <v>0</v>
      </c>
      <c r="K7" s="105">
        <v>81800</v>
      </c>
      <c r="L7" s="105">
        <v>15220</v>
      </c>
      <c r="M7" s="105">
        <v>0</v>
      </c>
      <c r="N7" s="105">
        <v>0</v>
      </c>
      <c r="O7" s="106">
        <f t="shared" ref="O7:O35" si="0">SUM(B7:N7)</f>
        <v>398978.10600000003</v>
      </c>
    </row>
    <row r="8" spans="1:15" s="8" customFormat="1" ht="17.25" customHeight="1" x14ac:dyDescent="0.2">
      <c r="A8" s="35" t="s">
        <v>16</v>
      </c>
      <c r="B8" s="105">
        <v>408532.75599999999</v>
      </c>
      <c r="C8" s="105">
        <v>993375</v>
      </c>
      <c r="D8" s="105">
        <v>0</v>
      </c>
      <c r="E8" s="105">
        <v>145.54499999999999</v>
      </c>
      <c r="F8" s="105">
        <v>117500</v>
      </c>
      <c r="G8" s="105">
        <f>24000+925</f>
        <v>24925</v>
      </c>
      <c r="H8" s="105">
        <v>1350</v>
      </c>
      <c r="I8" s="105">
        <v>301750</v>
      </c>
      <c r="J8" s="105">
        <v>0</v>
      </c>
      <c r="K8" s="105">
        <v>155200</v>
      </c>
      <c r="L8" s="105">
        <v>0</v>
      </c>
      <c r="M8" s="105">
        <v>103900</v>
      </c>
      <c r="N8" s="105">
        <v>0</v>
      </c>
      <c r="O8" s="106">
        <f t="shared" si="0"/>
        <v>2106678.301</v>
      </c>
    </row>
    <row r="9" spans="1:15" s="8" customFormat="1" ht="17.25" customHeight="1" x14ac:dyDescent="0.2">
      <c r="A9" s="35" t="s">
        <v>17</v>
      </c>
      <c r="B9" s="105">
        <v>16336.928</v>
      </c>
      <c r="C9" s="105">
        <v>153887.10500000001</v>
      </c>
      <c r="D9" s="105">
        <v>39</v>
      </c>
      <c r="E9" s="105">
        <v>2.9460000000000002</v>
      </c>
      <c r="F9" s="105">
        <v>6309.3710000000001</v>
      </c>
      <c r="G9" s="105">
        <v>4552.3450000000003</v>
      </c>
      <c r="H9" s="105">
        <v>355.53131999999999</v>
      </c>
      <c r="I9" s="105">
        <v>6816.6040000000003</v>
      </c>
      <c r="J9" s="105">
        <v>0</v>
      </c>
      <c r="K9" s="105">
        <v>29497.331999999999</v>
      </c>
      <c r="L9" s="105">
        <v>1094.193</v>
      </c>
      <c r="M9" s="105">
        <v>736.40300000000002</v>
      </c>
      <c r="N9" s="105">
        <v>0</v>
      </c>
      <c r="O9" s="106">
        <f t="shared" si="0"/>
        <v>219627.75831999999</v>
      </c>
    </row>
    <row r="10" spans="1:15" s="8" customFormat="1" ht="17.25" customHeight="1" x14ac:dyDescent="0.2">
      <c r="A10" s="35" t="s">
        <v>18</v>
      </c>
      <c r="B10" s="105">
        <v>72125.112999999998</v>
      </c>
      <c r="C10" s="105">
        <v>10993998.684</v>
      </c>
      <c r="D10" s="105">
        <v>89289</v>
      </c>
      <c r="E10" s="105">
        <v>0</v>
      </c>
      <c r="F10" s="105">
        <v>29910.135999999999</v>
      </c>
      <c r="G10" s="105">
        <v>500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4062710.6880000001</v>
      </c>
      <c r="N10" s="105">
        <v>0</v>
      </c>
      <c r="O10" s="106">
        <f t="shared" si="0"/>
        <v>15248533.620999999</v>
      </c>
    </row>
    <row r="11" spans="1:15" s="8" customFormat="1" ht="17.25" customHeight="1" x14ac:dyDescent="0.2">
      <c r="A11" s="35" t="s">
        <v>19</v>
      </c>
      <c r="B11" s="105">
        <v>5738299.0719999997</v>
      </c>
      <c r="C11" s="105">
        <f>6.571+74250+370+3295.373+27927.01+8757.87+3655.761+20614.542+3132.751+2441.852</f>
        <v>144451.72999999998</v>
      </c>
      <c r="D11" s="105">
        <f>240167+41684</f>
        <v>281851</v>
      </c>
      <c r="E11" s="105">
        <v>0</v>
      </c>
      <c r="F11" s="105">
        <v>214090.609</v>
      </c>
      <c r="G11" s="105">
        <f>396680.572+984+0.021+38668.8+5853.355+3931.2+174058.83+18676.113+8190.25+23116.24+1.5+65637.292+613.2+18518.816+40671.592+3635.4+4001.064+15360+2405+432+1430+337.28+1426.514+1142.408+1249.365+334.248+5032+3015.1+13975.035+1362.28+5796.881+62.7+0.128+8.49</f>
        <v>856607.674</v>
      </c>
      <c r="H11" s="105">
        <v>558.80999999999995</v>
      </c>
      <c r="I11" s="105">
        <v>78855.509000000005</v>
      </c>
      <c r="J11" s="105">
        <f>5680+6760+408+40+624.47+2500+3090+3090+9940+1180+4160+408+5135+1525+2849+44+3200+2500+1310+303+12+3266+1040+790+3075</f>
        <v>62929.47</v>
      </c>
      <c r="K11" s="105">
        <v>1591971.5630000001</v>
      </c>
      <c r="L11" s="105">
        <v>0</v>
      </c>
      <c r="M11" s="105">
        <f>7334.982+21.666+2033.538+7.447+263.978+1750+16722.188+14095.805+3514.9+87+2608+3267.749+7058.035+2161.737+4353.83+282.996+11145.63+24651.873+17.703+20.46+600+1294.838+55.11+495+30.8+7770.132+490+66666.679+9672.552+16427.746+57600.296+10528.712+379.312+15358.169+21494.34+17280.432+3484565.26+29491.67+4914+313337.342+9.594+365+9919.819</f>
        <v>4170146.32</v>
      </c>
      <c r="N11" s="105">
        <v>18671.793000000001</v>
      </c>
      <c r="O11" s="106">
        <f t="shared" si="0"/>
        <v>13158433.549999999</v>
      </c>
    </row>
    <row r="12" spans="1:15" s="8" customFormat="1" ht="17.25" customHeight="1" x14ac:dyDescent="0.2">
      <c r="A12" s="35" t="s">
        <v>20</v>
      </c>
      <c r="B12" s="105">
        <v>352783.679</v>
      </c>
      <c r="C12" s="105">
        <f>20000+64311.832+171167.975+5000+134400</f>
        <v>394879.80700000003</v>
      </c>
      <c r="D12" s="105">
        <f>70922+66008</f>
        <v>136930</v>
      </c>
      <c r="E12" s="105">
        <v>23379.701000000001</v>
      </c>
      <c r="F12" s="105">
        <f>72362.431+2803.73</f>
        <v>75166.160999999993</v>
      </c>
      <c r="G12" s="105">
        <v>64447.625999999997</v>
      </c>
      <c r="H12" s="105">
        <v>0.01</v>
      </c>
      <c r="I12" s="105">
        <v>0</v>
      </c>
      <c r="J12" s="105">
        <v>0</v>
      </c>
      <c r="K12" s="105">
        <f>460.96+1157+3229.875+10853.05+5586.101+9104.52+10721.28</f>
        <v>41112.786</v>
      </c>
      <c r="L12" s="105">
        <v>0</v>
      </c>
      <c r="M12" s="105">
        <f>29446.957+0.383+3268.25+50000+22250+22037.335+22553.09+38246.525+100000+4903.2+2644.016+1354.046+625.774+35647.064+19193.877+15000+400+2475</f>
        <v>370045.51699999993</v>
      </c>
      <c r="N12" s="105">
        <v>4373.1840000000002</v>
      </c>
      <c r="O12" s="106">
        <f t="shared" si="0"/>
        <v>1463118.4709999999</v>
      </c>
    </row>
    <row r="13" spans="1:15" s="8" customFormat="1" ht="17.25" customHeight="1" x14ac:dyDescent="0.2">
      <c r="A13" s="35" t="s">
        <v>21</v>
      </c>
      <c r="B13" s="105">
        <v>108976.622</v>
      </c>
      <c r="C13" s="105">
        <f>(36567.303+20067.041+24426.196+19927.917+379050.215)</f>
        <v>480038.67200000002</v>
      </c>
      <c r="D13" s="105">
        <v>322743</v>
      </c>
      <c r="E13" s="105">
        <v>0</v>
      </c>
      <c r="F13" s="105">
        <v>81502.391000000003</v>
      </c>
      <c r="G13" s="105">
        <f>3020.082+18583.301+7929.246+5317.999+3677.038+326.493+391.098+371.995+707.508+1362.532+7348.214+8754.096+9340.147+22707.508+25.227+3257.135+1011.837+235.449+10089.721+8174.54+8952.725+6198.641+6453.744+4131.721+1645.847+240.876</f>
        <v>140254.71999999997</v>
      </c>
      <c r="H13" s="105">
        <v>0</v>
      </c>
      <c r="I13" s="105">
        <v>0</v>
      </c>
      <c r="J13" s="105">
        <f>4824.424+11848.155</f>
        <v>16672.579000000002</v>
      </c>
      <c r="K13" s="105">
        <v>4502.223</v>
      </c>
      <c r="L13" s="105">
        <v>0</v>
      </c>
      <c r="M13" s="105">
        <v>0</v>
      </c>
      <c r="N13" s="105">
        <v>0</v>
      </c>
      <c r="O13" s="106">
        <f t="shared" si="0"/>
        <v>1154690.2069999999</v>
      </c>
    </row>
    <row r="14" spans="1:15" s="8" customFormat="1" ht="17.25" customHeight="1" x14ac:dyDescent="0.2">
      <c r="A14" s="35" t="s">
        <v>22</v>
      </c>
      <c r="B14" s="105">
        <v>3805329.97</v>
      </c>
      <c r="C14" s="105">
        <v>302.77699999999999</v>
      </c>
      <c r="D14" s="105">
        <v>0</v>
      </c>
      <c r="E14" s="105">
        <v>0</v>
      </c>
      <c r="F14" s="105"/>
      <c r="G14" s="105">
        <v>0</v>
      </c>
      <c r="H14" s="105">
        <v>0</v>
      </c>
      <c r="I14" s="105">
        <v>0</v>
      </c>
      <c r="J14" s="105">
        <f>8076.329+3748.349+12922+2434.75+2340.5+4615.045+3918.9+3748.349+9045.4+2307.523+4064.221+2261.35</f>
        <v>59482.716</v>
      </c>
      <c r="K14" s="105">
        <f>1929112.685-K11-K12-K13</f>
        <v>291526.11299999995</v>
      </c>
      <c r="L14" s="105">
        <v>0</v>
      </c>
      <c r="M14" s="105">
        <v>0</v>
      </c>
      <c r="N14" s="105">
        <v>4913.799</v>
      </c>
      <c r="O14" s="106">
        <f t="shared" si="0"/>
        <v>4161555.375</v>
      </c>
    </row>
    <row r="15" spans="1:15" s="8" customFormat="1" ht="17.25" customHeight="1" x14ac:dyDescent="0.2">
      <c r="A15" s="141" t="s">
        <v>23</v>
      </c>
      <c r="B15" s="105">
        <v>3486885.4160000002</v>
      </c>
      <c r="C15" s="105">
        <v>0</v>
      </c>
      <c r="D15" s="105">
        <v>308371</v>
      </c>
      <c r="E15" s="105">
        <v>999.04</v>
      </c>
      <c r="F15" s="105">
        <v>16940.468000000001</v>
      </c>
      <c r="G15" s="105">
        <v>113690.308</v>
      </c>
      <c r="H15" s="105">
        <v>300</v>
      </c>
      <c r="I15" s="105">
        <v>774674.56099999999</v>
      </c>
      <c r="J15" s="105">
        <v>0</v>
      </c>
      <c r="K15" s="105">
        <f>164200.137+20365.086</f>
        <v>184565.223</v>
      </c>
      <c r="L15" s="105">
        <v>0</v>
      </c>
      <c r="M15" s="105">
        <v>8770402.0350000001</v>
      </c>
      <c r="N15" s="105">
        <v>57578.269</v>
      </c>
      <c r="O15" s="106">
        <f t="shared" si="0"/>
        <v>13714406.32</v>
      </c>
    </row>
    <row r="16" spans="1:15" s="8" customFormat="1" ht="17.25" customHeight="1" x14ac:dyDescent="0.2">
      <c r="A16" s="35" t="s">
        <v>24</v>
      </c>
      <c r="B16" s="105">
        <v>153278.103</v>
      </c>
      <c r="C16" s="105">
        <v>49300.898000000001</v>
      </c>
      <c r="D16" s="105">
        <v>53436</v>
      </c>
      <c r="E16" s="105">
        <v>0</v>
      </c>
      <c r="F16" s="105">
        <v>39898.389000000003</v>
      </c>
      <c r="G16" s="105">
        <v>41550</v>
      </c>
      <c r="H16" s="105">
        <v>0</v>
      </c>
      <c r="I16" s="105">
        <v>0</v>
      </c>
      <c r="J16" s="105">
        <v>0</v>
      </c>
      <c r="K16" s="105">
        <f>383422.913-164200.137-20365.086</f>
        <v>198857.69</v>
      </c>
      <c r="L16" s="105">
        <v>0</v>
      </c>
      <c r="M16" s="105">
        <v>0</v>
      </c>
      <c r="N16" s="105">
        <v>53109.504000000001</v>
      </c>
      <c r="O16" s="106">
        <f t="shared" si="0"/>
        <v>589430.58400000003</v>
      </c>
    </row>
    <row r="17" spans="1:15" s="8" customFormat="1" ht="17.25" customHeight="1" x14ac:dyDescent="0.2">
      <c r="A17" s="35" t="s">
        <v>25</v>
      </c>
      <c r="B17" s="105">
        <v>2101212.8790000002</v>
      </c>
      <c r="C17" s="105">
        <v>162965.266</v>
      </c>
      <c r="D17" s="105">
        <v>112285</v>
      </c>
      <c r="E17" s="105">
        <v>6520.1319999999996</v>
      </c>
      <c r="F17" s="105">
        <v>102962.973</v>
      </c>
      <c r="G17" s="105">
        <v>46808.732000000004</v>
      </c>
      <c r="H17" s="105">
        <v>24512.315839999999</v>
      </c>
      <c r="I17" s="105">
        <v>199336.894</v>
      </c>
      <c r="J17" s="105">
        <v>105028.12699999999</v>
      </c>
      <c r="K17" s="105">
        <v>463052.92499999999</v>
      </c>
      <c r="L17" s="105">
        <v>1034.5830000000001</v>
      </c>
      <c r="M17" s="105">
        <v>1555943.3570000001</v>
      </c>
      <c r="N17" s="105">
        <v>33390.160000000003</v>
      </c>
      <c r="O17" s="106">
        <f t="shared" si="0"/>
        <v>4915053.3438399993</v>
      </c>
    </row>
    <row r="18" spans="1:15" s="8" customFormat="1" ht="17.25" customHeight="1" x14ac:dyDescent="0.2">
      <c r="A18" s="35" t="s">
        <v>26</v>
      </c>
      <c r="B18" s="105">
        <v>516755.13799999998</v>
      </c>
      <c r="C18" s="105">
        <v>28308.976999999999</v>
      </c>
      <c r="D18" s="105">
        <v>0</v>
      </c>
      <c r="E18" s="105">
        <v>0</v>
      </c>
      <c r="F18" s="105"/>
      <c r="G18" s="105">
        <v>14678.695</v>
      </c>
      <c r="H18" s="105">
        <v>594.92203000000006</v>
      </c>
      <c r="I18" s="105">
        <v>0</v>
      </c>
      <c r="J18" s="105">
        <v>0</v>
      </c>
      <c r="K18" s="105">
        <v>0</v>
      </c>
      <c r="L18" s="105">
        <v>0</v>
      </c>
      <c r="M18" s="105">
        <v>13334.540999999999</v>
      </c>
      <c r="N18" s="105">
        <v>0</v>
      </c>
      <c r="O18" s="106">
        <f t="shared" si="0"/>
        <v>573672.27302999992</v>
      </c>
    </row>
    <row r="19" spans="1:15" s="8" customFormat="1" ht="17.25" customHeight="1" x14ac:dyDescent="0.2">
      <c r="A19" s="35" t="s">
        <v>27</v>
      </c>
      <c r="B19" s="105">
        <v>107511.58199999999</v>
      </c>
      <c r="C19" s="105">
        <v>85232.57</v>
      </c>
      <c r="D19" s="105">
        <v>17347</v>
      </c>
      <c r="E19" s="105">
        <v>2113.7640000000001</v>
      </c>
      <c r="F19" s="105">
        <v>24435.867999999999</v>
      </c>
      <c r="G19" s="105">
        <v>18979.330999999998</v>
      </c>
      <c r="H19" s="105">
        <v>612.29198999999994</v>
      </c>
      <c r="I19" s="105">
        <v>41038.482000000004</v>
      </c>
      <c r="J19" s="105">
        <v>17098.456999999999</v>
      </c>
      <c r="K19" s="105">
        <v>23932.76</v>
      </c>
      <c r="L19" s="105">
        <v>2150.4079999999999</v>
      </c>
      <c r="M19" s="105">
        <v>127337.804</v>
      </c>
      <c r="N19" s="105">
        <v>3313.96</v>
      </c>
      <c r="O19" s="106">
        <f t="shared" si="0"/>
        <v>471104.27799000003</v>
      </c>
    </row>
    <row r="20" spans="1:15" s="8" customFormat="1" ht="17.25" customHeight="1" x14ac:dyDescent="0.2">
      <c r="A20" s="35" t="s">
        <v>28</v>
      </c>
      <c r="B20" s="105">
        <v>10929.013999999999</v>
      </c>
      <c r="C20" s="105">
        <v>0</v>
      </c>
      <c r="D20" s="105">
        <v>450</v>
      </c>
      <c r="E20" s="105">
        <v>0</v>
      </c>
      <c r="F20" s="105"/>
      <c r="G20" s="105">
        <v>11331.504000000001</v>
      </c>
      <c r="H20" s="105">
        <v>0</v>
      </c>
      <c r="I20" s="105">
        <v>0</v>
      </c>
      <c r="J20" s="105">
        <v>0</v>
      </c>
      <c r="K20" s="105">
        <v>10798.366</v>
      </c>
      <c r="L20" s="105">
        <v>0</v>
      </c>
      <c r="M20" s="105">
        <v>236817.48300000001</v>
      </c>
      <c r="N20" s="105">
        <v>0</v>
      </c>
      <c r="O20" s="106">
        <f t="shared" si="0"/>
        <v>270326.36700000003</v>
      </c>
    </row>
    <row r="21" spans="1:15" s="8" customFormat="1" ht="17.25" customHeight="1" x14ac:dyDescent="0.2">
      <c r="A21" s="35" t="s">
        <v>29</v>
      </c>
      <c r="B21" s="105">
        <v>22500</v>
      </c>
      <c r="C21" s="105">
        <v>0</v>
      </c>
      <c r="D21" s="105">
        <v>0</v>
      </c>
      <c r="E21" s="105">
        <v>0</v>
      </c>
      <c r="F21" s="105"/>
      <c r="G21" s="105">
        <v>2580.6779999999999</v>
      </c>
      <c r="H21" s="105">
        <v>198.34299999999999</v>
      </c>
      <c r="I21" s="105">
        <v>0</v>
      </c>
      <c r="J21" s="105">
        <v>0</v>
      </c>
      <c r="K21" s="105">
        <v>0</v>
      </c>
      <c r="L21" s="105">
        <v>0</v>
      </c>
      <c r="M21" s="105">
        <v>0</v>
      </c>
      <c r="N21" s="105">
        <v>0</v>
      </c>
      <c r="O21" s="106">
        <f t="shared" si="0"/>
        <v>25279.021000000001</v>
      </c>
    </row>
    <row r="22" spans="1:15" s="8" customFormat="1" ht="17.25" customHeight="1" x14ac:dyDescent="0.2">
      <c r="A22" s="35" t="s">
        <v>30</v>
      </c>
      <c r="B22" s="105">
        <v>14781.168</v>
      </c>
      <c r="C22" s="105">
        <v>0</v>
      </c>
      <c r="D22" s="105">
        <v>0</v>
      </c>
      <c r="E22" s="105">
        <v>0</v>
      </c>
      <c r="F22" s="105">
        <v>8487.0370000000003</v>
      </c>
      <c r="G22" s="105">
        <v>4305.951</v>
      </c>
      <c r="H22" s="105">
        <v>0</v>
      </c>
      <c r="I22" s="105">
        <v>0</v>
      </c>
      <c r="J22" s="105">
        <v>0</v>
      </c>
      <c r="K22" s="105">
        <v>22792.888999999999</v>
      </c>
      <c r="L22" s="105">
        <v>0</v>
      </c>
      <c r="M22" s="105">
        <v>4544.91</v>
      </c>
      <c r="N22" s="105">
        <v>0</v>
      </c>
      <c r="O22" s="106">
        <f t="shared" si="0"/>
        <v>54911.955000000002</v>
      </c>
    </row>
    <row r="23" spans="1:15" s="8" customFormat="1" ht="17.25" customHeight="1" x14ac:dyDescent="0.2">
      <c r="A23" s="35" t="s">
        <v>31</v>
      </c>
      <c r="B23" s="105">
        <f>18846.597+4033-18000</f>
        <v>4879.5970000000016</v>
      </c>
      <c r="C23" s="105">
        <v>0</v>
      </c>
      <c r="D23" s="105">
        <v>0</v>
      </c>
      <c r="E23" s="105">
        <v>0</v>
      </c>
      <c r="F23" s="105">
        <f>33000+11500</f>
        <v>44500</v>
      </c>
      <c r="G23" s="105">
        <f>17361.591+58404.038</f>
        <v>75765.629000000001</v>
      </c>
      <c r="H23" s="105">
        <v>0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106">
        <f t="shared" si="0"/>
        <v>125145.226</v>
      </c>
    </row>
    <row r="24" spans="1:15" s="8" customFormat="1" ht="17.25" customHeight="1" x14ac:dyDescent="0.2">
      <c r="A24" s="35" t="s">
        <v>32</v>
      </c>
      <c r="B24" s="105">
        <v>14.75</v>
      </c>
      <c r="C24" s="105">
        <v>63.9</v>
      </c>
      <c r="D24" s="105">
        <v>6923</v>
      </c>
      <c r="E24" s="105">
        <v>8.3040000000000003</v>
      </c>
      <c r="F24" s="105"/>
      <c r="G24" s="105">
        <v>30.327000000000002</v>
      </c>
      <c r="H24" s="105">
        <v>1.43706</v>
      </c>
      <c r="I24" s="105">
        <v>57.642000000000003</v>
      </c>
      <c r="J24" s="105"/>
      <c r="K24" s="105">
        <v>43682.396999999997</v>
      </c>
      <c r="L24" s="105">
        <v>211.34</v>
      </c>
      <c r="M24" s="105">
        <v>7935.8209999999999</v>
      </c>
      <c r="N24" s="105">
        <v>0</v>
      </c>
      <c r="O24" s="106">
        <f t="shared" si="0"/>
        <v>58928.918059999996</v>
      </c>
    </row>
    <row r="25" spans="1:15" s="8" customFormat="1" ht="17.25" customHeight="1" x14ac:dyDescent="0.2">
      <c r="A25" s="35" t="s">
        <v>33</v>
      </c>
      <c r="B25" s="105">
        <v>79912.75</v>
      </c>
      <c r="C25" s="105">
        <v>102700.882</v>
      </c>
      <c r="D25" s="105">
        <v>149464</v>
      </c>
      <c r="E25" s="105">
        <v>2274.4780000000001</v>
      </c>
      <c r="F25" s="105">
        <f>11494.224+7377.362+47.641+13297.371+0.215+106.4+5721.5+1859.269</f>
        <v>39903.982000000004</v>
      </c>
      <c r="G25" s="105">
        <v>10728.941999999999</v>
      </c>
      <c r="H25" s="105">
        <v>13625.762349999999</v>
      </c>
      <c r="I25" s="105">
        <v>26434.445</v>
      </c>
      <c r="J25" s="105">
        <f>881.755+1585.217+25913.145+1047.703</f>
        <v>29427.820000000003</v>
      </c>
      <c r="K25" s="105">
        <v>130238.226</v>
      </c>
      <c r="L25" s="105">
        <v>1154.057</v>
      </c>
      <c r="M25" s="105">
        <v>435946.78899999999</v>
      </c>
      <c r="N25" s="105">
        <v>38461.735000000001</v>
      </c>
      <c r="O25" s="106">
        <f t="shared" si="0"/>
        <v>1060273.8683500001</v>
      </c>
    </row>
    <row r="26" spans="1:15" s="8" customFormat="1" ht="17.25" customHeight="1" x14ac:dyDescent="0.2">
      <c r="A26" s="35" t="s">
        <v>34</v>
      </c>
      <c r="B26" s="105">
        <f>2709562.585+110000</f>
        <v>2819562.585</v>
      </c>
      <c r="C26" s="105">
        <f>(173358.667+185954.71+15000)</f>
        <v>374313.37699999998</v>
      </c>
      <c r="D26" s="105">
        <v>0</v>
      </c>
      <c r="E26" s="105">
        <v>28765.07</v>
      </c>
      <c r="F26" s="105">
        <f>1291.204+3546.767+621.3+7444.707</f>
        <v>12903.977999999999</v>
      </c>
      <c r="G26" s="105">
        <v>159677.851</v>
      </c>
      <c r="H26" s="105">
        <v>20060</v>
      </c>
      <c r="I26" s="105">
        <v>812165</v>
      </c>
      <c r="J26" s="105">
        <v>8000</v>
      </c>
      <c r="K26" s="105">
        <v>57846.478999999999</v>
      </c>
      <c r="L26" s="105">
        <v>23184.656999999999</v>
      </c>
      <c r="M26" s="105">
        <v>2212099.8190000001</v>
      </c>
      <c r="N26" s="105">
        <v>170500</v>
      </c>
      <c r="O26" s="106">
        <f t="shared" si="0"/>
        <v>6699078.8159999996</v>
      </c>
    </row>
    <row r="27" spans="1:15" s="8" customFormat="1" ht="17.25" customHeight="1" x14ac:dyDescent="0.2">
      <c r="A27" s="35" t="s">
        <v>35</v>
      </c>
      <c r="B27" s="105">
        <f>793646.539+103500+55708</f>
        <v>952854.53899999999</v>
      </c>
      <c r="C27" s="105">
        <v>100000</v>
      </c>
      <c r="D27" s="105">
        <v>0</v>
      </c>
      <c r="E27" s="105">
        <v>16720.795999999998</v>
      </c>
      <c r="F27" s="105">
        <f>25500+18000+30600+2000</f>
        <v>76100</v>
      </c>
      <c r="G27" s="105">
        <v>0</v>
      </c>
      <c r="H27" s="105">
        <v>0</v>
      </c>
      <c r="I27" s="105">
        <v>10000</v>
      </c>
      <c r="J27" s="105">
        <v>796.8</v>
      </c>
      <c r="K27" s="105">
        <v>10650</v>
      </c>
      <c r="L27" s="105">
        <v>0</v>
      </c>
      <c r="M27" s="105">
        <f>65552.239+388252.95</f>
        <v>453805.18900000001</v>
      </c>
      <c r="N27" s="105">
        <v>0</v>
      </c>
      <c r="O27" s="106">
        <f t="shared" si="0"/>
        <v>1620927.324</v>
      </c>
    </row>
    <row r="28" spans="1:15" s="8" customFormat="1" ht="17.25" customHeight="1" x14ac:dyDescent="0.2">
      <c r="A28" s="35" t="s">
        <v>36</v>
      </c>
      <c r="B28" s="105">
        <f>37301.504+150.842+22174.368</f>
        <v>59626.713999999993</v>
      </c>
      <c r="C28" s="105">
        <f>12246.229</f>
        <v>12246.228999999999</v>
      </c>
      <c r="D28" s="105">
        <f>136+21589</f>
        <v>21725</v>
      </c>
      <c r="E28" s="105">
        <v>508.69299999999998</v>
      </c>
      <c r="F28" s="105">
        <v>1316.5540000000001</v>
      </c>
      <c r="G28" s="105">
        <v>519.29200000000003</v>
      </c>
      <c r="H28" s="105">
        <v>1707.09682</v>
      </c>
      <c r="I28" s="105">
        <v>4435.7139999999999</v>
      </c>
      <c r="J28" s="105">
        <v>0</v>
      </c>
      <c r="K28" s="105">
        <v>13763.572</v>
      </c>
      <c r="L28" s="105">
        <v>0</v>
      </c>
      <c r="M28" s="105">
        <v>2111.3009999999999</v>
      </c>
      <c r="N28" s="105">
        <v>0</v>
      </c>
      <c r="O28" s="106">
        <f t="shared" si="0"/>
        <v>117960.16582000001</v>
      </c>
    </row>
    <row r="29" spans="1:15" s="8" customFormat="1" ht="17.25" customHeight="1" x14ac:dyDescent="0.2">
      <c r="A29" s="35" t="s">
        <v>37</v>
      </c>
      <c r="B29" s="105">
        <v>26412.92</v>
      </c>
      <c r="C29" s="105">
        <v>5345261.99</v>
      </c>
      <c r="D29" s="105">
        <v>2567</v>
      </c>
      <c r="E29" s="105">
        <v>0</v>
      </c>
      <c r="F29" s="105">
        <v>16248.496999999999</v>
      </c>
      <c r="G29" s="105">
        <v>0</v>
      </c>
      <c r="H29" s="105">
        <v>0</v>
      </c>
      <c r="I29" s="105">
        <v>0</v>
      </c>
      <c r="J29" s="105">
        <v>315411.81900000002</v>
      </c>
      <c r="K29" s="105">
        <v>1416.45</v>
      </c>
      <c r="L29" s="105">
        <v>0</v>
      </c>
      <c r="M29" s="105">
        <v>123352.727</v>
      </c>
      <c r="N29" s="105">
        <v>0</v>
      </c>
      <c r="O29" s="106">
        <f t="shared" si="0"/>
        <v>5830671.4030000009</v>
      </c>
    </row>
    <row r="30" spans="1:15" s="8" customFormat="1" ht="17.25" customHeight="1" x14ac:dyDescent="0.2">
      <c r="A30" s="35" t="s">
        <v>38</v>
      </c>
      <c r="B30" s="105">
        <v>6855.2860000000001</v>
      </c>
      <c r="C30" s="105">
        <v>1641.38</v>
      </c>
      <c r="D30" s="105">
        <v>15575</v>
      </c>
      <c r="E30" s="105">
        <v>0</v>
      </c>
      <c r="F30" s="105">
        <v>2.4710000000000001</v>
      </c>
      <c r="G30" s="105">
        <v>0</v>
      </c>
      <c r="H30" s="105">
        <v>0</v>
      </c>
      <c r="I30" s="105">
        <v>0</v>
      </c>
      <c r="J30" s="105">
        <v>0</v>
      </c>
      <c r="K30" s="105">
        <v>3764.9589999999998</v>
      </c>
      <c r="L30" s="105">
        <v>150</v>
      </c>
      <c r="M30" s="105">
        <v>50983.118000000002</v>
      </c>
      <c r="N30" s="105">
        <v>916.24</v>
      </c>
      <c r="O30" s="106">
        <f t="shared" si="0"/>
        <v>79888.454000000012</v>
      </c>
    </row>
    <row r="31" spans="1:15" s="8" customFormat="1" ht="17.25" customHeight="1" x14ac:dyDescent="0.2">
      <c r="A31" s="35" t="s">
        <v>39</v>
      </c>
      <c r="B31" s="105">
        <v>0</v>
      </c>
      <c r="C31" s="105">
        <v>0</v>
      </c>
      <c r="D31" s="105">
        <v>0</v>
      </c>
      <c r="E31" s="105">
        <v>0</v>
      </c>
      <c r="F31" s="105"/>
      <c r="G31" s="105">
        <v>0</v>
      </c>
      <c r="H31" s="105">
        <v>0</v>
      </c>
      <c r="I31" s="105">
        <v>0</v>
      </c>
      <c r="J31" s="105">
        <v>0</v>
      </c>
      <c r="K31" s="105">
        <v>0</v>
      </c>
      <c r="L31" s="105">
        <v>0</v>
      </c>
      <c r="M31" s="105">
        <v>0</v>
      </c>
      <c r="N31" s="105">
        <v>0</v>
      </c>
      <c r="O31" s="106">
        <f t="shared" si="0"/>
        <v>0</v>
      </c>
    </row>
    <row r="32" spans="1:15" s="8" customFormat="1" ht="17.25" customHeight="1" x14ac:dyDescent="0.2">
      <c r="A32" s="35" t="s">
        <v>40</v>
      </c>
      <c r="B32" s="105">
        <v>108941.944</v>
      </c>
      <c r="C32" s="105">
        <v>121724.70600000001</v>
      </c>
      <c r="D32" s="105">
        <v>9477</v>
      </c>
      <c r="E32" s="105">
        <v>0</v>
      </c>
      <c r="F32" s="105">
        <v>33460.733</v>
      </c>
      <c r="G32" s="105">
        <v>8945.7690000000002</v>
      </c>
      <c r="H32" s="105">
        <v>4110.0727500000003</v>
      </c>
      <c r="I32" s="105">
        <v>13944.223</v>
      </c>
      <c r="J32" s="105">
        <v>31339.077000000001</v>
      </c>
      <c r="K32" s="105">
        <f>1334.008+7529.725+103.503</f>
        <v>8967.2360000000008</v>
      </c>
      <c r="L32" s="105">
        <v>1475.6420000000001</v>
      </c>
      <c r="M32" s="105">
        <v>683.53399999999999</v>
      </c>
      <c r="N32" s="105">
        <v>7907.1009999999997</v>
      </c>
      <c r="O32" s="106">
        <f t="shared" si="0"/>
        <v>350977.03774999996</v>
      </c>
    </row>
    <row r="33" spans="1:33" s="8" customFormat="1" ht="17.25" customHeight="1" x14ac:dyDescent="0.2">
      <c r="A33" s="35" t="s">
        <v>41</v>
      </c>
      <c r="B33" s="105">
        <v>0</v>
      </c>
      <c r="C33" s="105">
        <v>0</v>
      </c>
      <c r="D33" s="105">
        <v>200668</v>
      </c>
      <c r="E33" s="105">
        <v>6487.8760000000002</v>
      </c>
      <c r="F33" s="105"/>
      <c r="G33" s="105">
        <v>12662.311</v>
      </c>
      <c r="H33" s="105">
        <v>0</v>
      </c>
      <c r="I33" s="105">
        <v>302470.32199999999</v>
      </c>
      <c r="J33" s="105">
        <v>0</v>
      </c>
      <c r="K33" s="105">
        <v>0</v>
      </c>
      <c r="L33" s="105">
        <v>0</v>
      </c>
      <c r="M33" s="105">
        <v>287749.86700000003</v>
      </c>
      <c r="N33" s="105">
        <v>0</v>
      </c>
      <c r="O33" s="106">
        <f t="shared" si="0"/>
        <v>810038.37599999993</v>
      </c>
    </row>
    <row r="34" spans="1:33" s="8" customFormat="1" ht="17.25" customHeight="1" x14ac:dyDescent="0.2">
      <c r="A34" s="108"/>
      <c r="B34" s="109"/>
      <c r="C34" s="109"/>
      <c r="D34" s="109"/>
      <c r="E34" s="109"/>
      <c r="F34" s="109"/>
      <c r="G34" s="109"/>
      <c r="H34" s="110"/>
      <c r="I34" s="110"/>
      <c r="J34" s="110"/>
      <c r="K34" s="110"/>
      <c r="L34" s="110"/>
      <c r="M34" s="110"/>
      <c r="N34" s="110"/>
      <c r="O34" s="111"/>
    </row>
    <row r="35" spans="1:33" s="8" customFormat="1" ht="20.25" customHeight="1" x14ac:dyDescent="0.2">
      <c r="A35" s="112" t="s">
        <v>13</v>
      </c>
      <c r="B35" s="113">
        <f>SUM(B6:B33)</f>
        <v>21107776.263</v>
      </c>
      <c r="C35" s="113">
        <f>SUM(C6:C33)</f>
        <v>19710982.323000003</v>
      </c>
      <c r="D35" s="113">
        <f>SUM(D6:D34)</f>
        <v>1729140</v>
      </c>
      <c r="E35" s="113">
        <f>SUM(E6:E34)</f>
        <v>87926.346000000005</v>
      </c>
      <c r="F35" s="113">
        <f>SUM(F6:F33)</f>
        <v>945058.12199999997</v>
      </c>
      <c r="G35" s="113">
        <f>SUM(G6:G34)</f>
        <v>1639083.6240000001</v>
      </c>
      <c r="H35" s="113">
        <f>SUM(H5:H33)</f>
        <v>67986.593160000004</v>
      </c>
      <c r="I35" s="113">
        <f>SUM(I6:I34)</f>
        <v>2624733.9860000005</v>
      </c>
      <c r="J35" s="113">
        <f>SUM(J6:J34)</f>
        <v>652531.16700000002</v>
      </c>
      <c r="K35" s="113">
        <f>SUM(K6:K34)</f>
        <v>3385265.7599999988</v>
      </c>
      <c r="L35" s="113">
        <f>SUM(L6:L34)</f>
        <v>45967.127</v>
      </c>
      <c r="M35" s="113">
        <f>SUM(M8:M33)</f>
        <v>22990587.223000005</v>
      </c>
      <c r="N35" s="113">
        <f>SUM(N6:N33)</f>
        <v>393135.745</v>
      </c>
      <c r="O35" s="114">
        <f t="shared" si="0"/>
        <v>75380174.279160023</v>
      </c>
    </row>
    <row r="36" spans="1:33" ht="18" customHeight="1" x14ac:dyDescent="0.2"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</row>
    <row r="37" spans="1:33" x14ac:dyDescent="0.2">
      <c r="A37" s="27" t="s">
        <v>123</v>
      </c>
      <c r="B37" s="120"/>
      <c r="C37" s="120"/>
      <c r="D37" s="120"/>
      <c r="E37" s="120"/>
      <c r="F37" s="120"/>
      <c r="G37" s="120"/>
      <c r="H37" s="123"/>
      <c r="I37" s="123"/>
      <c r="J37" s="124"/>
      <c r="K37" s="125"/>
      <c r="L37" s="125"/>
      <c r="M37" s="124"/>
      <c r="N37" s="124"/>
      <c r="O37" s="124"/>
    </row>
    <row r="38" spans="1:33" x14ac:dyDescent="0.2">
      <c r="B38" s="127"/>
      <c r="C38" s="127"/>
      <c r="D38" s="127"/>
      <c r="E38" s="127"/>
      <c r="F38" s="127"/>
      <c r="G38" s="125"/>
      <c r="H38" s="123"/>
      <c r="I38" s="123"/>
      <c r="J38" s="127"/>
      <c r="K38" s="127"/>
      <c r="L38" s="127"/>
      <c r="M38" s="127"/>
      <c r="N38" s="127"/>
      <c r="O38" s="127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x14ac:dyDescent="0.2">
      <c r="B39" s="142"/>
      <c r="C39" s="142"/>
      <c r="D39" s="142"/>
      <c r="E39" s="142"/>
      <c r="F39" s="142"/>
      <c r="G39" s="142"/>
      <c r="J39" s="142"/>
      <c r="K39" s="142"/>
      <c r="L39" s="142"/>
      <c r="M39" s="142"/>
      <c r="N39" s="142"/>
      <c r="O39" s="142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x14ac:dyDescent="0.2">
      <c r="B40" s="142"/>
      <c r="C40" s="142"/>
      <c r="D40" s="142"/>
      <c r="E40" s="142"/>
      <c r="F40" s="142"/>
      <c r="G40" s="142"/>
      <c r="J40" s="142"/>
      <c r="K40" s="142"/>
      <c r="L40" s="142"/>
      <c r="M40" s="142"/>
      <c r="N40" s="142"/>
      <c r="O40" s="142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x14ac:dyDescent="0.2">
      <c r="B41" s="142"/>
      <c r="C41" s="142"/>
      <c r="D41" s="142"/>
      <c r="E41" s="142"/>
      <c r="F41" s="142"/>
      <c r="G41" s="142"/>
      <c r="J41" s="142"/>
      <c r="K41" s="142"/>
      <c r="L41" s="142"/>
      <c r="M41" s="142"/>
      <c r="N41" s="142"/>
      <c r="O41" s="142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x14ac:dyDescent="0.2">
      <c r="B42" s="142"/>
      <c r="C42" s="142"/>
      <c r="D42" s="142"/>
      <c r="E42" s="142"/>
      <c r="F42" s="142"/>
      <c r="G42" s="142"/>
      <c r="J42" s="142"/>
      <c r="K42" s="142"/>
      <c r="L42" s="142"/>
      <c r="M42" s="142"/>
      <c r="N42" s="142"/>
      <c r="O42" s="142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3" x14ac:dyDescent="0.2">
      <c r="B43" s="142"/>
      <c r="C43" s="142"/>
      <c r="D43" s="142"/>
      <c r="E43" s="142"/>
      <c r="F43" s="142"/>
      <c r="G43" s="142"/>
      <c r="J43" s="142"/>
      <c r="K43" s="142"/>
      <c r="L43" s="142"/>
      <c r="M43" s="142"/>
      <c r="N43" s="142"/>
      <c r="O43" s="142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3" x14ac:dyDescent="0.2">
      <c r="B44" s="142"/>
      <c r="C44" s="142"/>
      <c r="D44" s="142"/>
      <c r="E44" s="142"/>
      <c r="F44" s="142"/>
      <c r="G44" s="142"/>
      <c r="J44" s="142"/>
      <c r="K44" s="142"/>
      <c r="L44" s="142"/>
      <c r="M44" s="142"/>
      <c r="N44" s="142"/>
      <c r="O44" s="142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 x14ac:dyDescent="0.2">
      <c r="B45" s="142"/>
      <c r="C45" s="142"/>
      <c r="D45" s="142"/>
      <c r="E45" s="142"/>
      <c r="F45" s="142"/>
      <c r="G45" s="142"/>
      <c r="J45" s="142"/>
      <c r="K45" s="142"/>
      <c r="L45" s="142"/>
      <c r="M45" s="142"/>
      <c r="N45" s="142"/>
      <c r="O45" s="142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3" x14ac:dyDescent="0.2">
      <c r="B46" s="142"/>
      <c r="C46" s="142"/>
      <c r="D46" s="142"/>
      <c r="E46" s="142"/>
      <c r="F46" s="142"/>
      <c r="G46" s="142"/>
      <c r="J46" s="142"/>
      <c r="K46" s="142"/>
      <c r="L46" s="142"/>
      <c r="M46" s="142"/>
      <c r="N46" s="142"/>
      <c r="O46" s="142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3" x14ac:dyDescent="0.2">
      <c r="B47" s="142"/>
      <c r="C47" s="142"/>
      <c r="D47" s="142"/>
      <c r="E47" s="142"/>
      <c r="F47" s="142"/>
      <c r="G47" s="142"/>
      <c r="J47" s="142"/>
      <c r="K47" s="142"/>
      <c r="L47" s="142"/>
      <c r="M47" s="142"/>
      <c r="N47" s="142"/>
      <c r="O47" s="142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 x14ac:dyDescent="0.2">
      <c r="B48" s="142"/>
      <c r="C48" s="142"/>
      <c r="D48" s="142"/>
      <c r="E48" s="142"/>
      <c r="F48" s="142"/>
      <c r="G48" s="142"/>
      <c r="J48" s="142"/>
      <c r="K48" s="142"/>
      <c r="L48" s="142"/>
      <c r="M48" s="142"/>
      <c r="N48" s="142"/>
      <c r="O48" s="142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2:33" x14ac:dyDescent="0.2">
      <c r="B49" s="142"/>
      <c r="C49" s="142"/>
      <c r="D49" s="142"/>
      <c r="E49" s="142"/>
      <c r="F49" s="142"/>
      <c r="G49" s="142"/>
      <c r="J49" s="142"/>
      <c r="K49" s="142"/>
      <c r="L49" s="142"/>
      <c r="M49" s="142"/>
      <c r="N49" s="142"/>
      <c r="O49" s="142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2:33" x14ac:dyDescent="0.2">
      <c r="B50" s="142"/>
      <c r="C50" s="142"/>
      <c r="D50" s="142"/>
      <c r="E50" s="142"/>
      <c r="F50" s="142"/>
      <c r="G50" s="142"/>
      <c r="J50" s="142"/>
      <c r="K50" s="142"/>
      <c r="L50" s="142"/>
      <c r="M50" s="142"/>
      <c r="N50" s="142"/>
      <c r="O50" s="142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2:33" x14ac:dyDescent="0.2">
      <c r="B51" s="142"/>
      <c r="C51" s="142"/>
      <c r="D51" s="142"/>
      <c r="E51" s="142"/>
      <c r="F51" s="142"/>
      <c r="G51" s="142"/>
      <c r="J51" s="142"/>
      <c r="K51" s="142"/>
      <c r="L51" s="142"/>
      <c r="M51" s="142"/>
      <c r="N51" s="142"/>
      <c r="O51" s="142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2:33" x14ac:dyDescent="0.2">
      <c r="B52" s="142"/>
      <c r="C52" s="142"/>
      <c r="D52" s="142"/>
      <c r="E52" s="142"/>
      <c r="F52" s="142"/>
      <c r="G52" s="142"/>
      <c r="J52" s="142"/>
      <c r="K52" s="142"/>
      <c r="L52" s="142"/>
      <c r="M52" s="142"/>
      <c r="N52" s="142"/>
      <c r="O52" s="142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2:33" x14ac:dyDescent="0.2">
      <c r="B53" s="142"/>
      <c r="C53" s="142"/>
      <c r="D53" s="142"/>
      <c r="E53" s="142"/>
      <c r="F53" s="142"/>
      <c r="G53" s="142"/>
      <c r="J53" s="142"/>
      <c r="K53" s="142"/>
      <c r="L53" s="142"/>
      <c r="M53" s="142"/>
      <c r="N53" s="142"/>
      <c r="O53" s="142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2:33" x14ac:dyDescent="0.2">
      <c r="B54" s="142"/>
      <c r="C54" s="142"/>
      <c r="D54" s="142"/>
      <c r="E54" s="142"/>
      <c r="F54" s="142"/>
      <c r="G54" s="142"/>
      <c r="J54" s="142"/>
      <c r="K54" s="142"/>
      <c r="L54" s="142"/>
      <c r="M54" s="142"/>
      <c r="N54" s="142"/>
      <c r="O54" s="142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2:33" x14ac:dyDescent="0.2">
      <c r="B55" s="142"/>
      <c r="C55" s="142"/>
      <c r="D55" s="142"/>
      <c r="E55" s="142"/>
      <c r="F55" s="142"/>
      <c r="G55" s="142"/>
      <c r="J55" s="142"/>
      <c r="K55" s="142"/>
      <c r="L55" s="142"/>
      <c r="M55" s="142"/>
      <c r="N55" s="142"/>
      <c r="O55" s="142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  <row r="56" spans="2:33" x14ac:dyDescent="0.2">
      <c r="B56" s="142"/>
      <c r="C56" s="142"/>
      <c r="D56" s="142"/>
      <c r="E56" s="142"/>
      <c r="F56" s="142"/>
      <c r="G56" s="142"/>
      <c r="J56" s="142"/>
      <c r="K56" s="142"/>
      <c r="L56" s="142"/>
      <c r="M56" s="142"/>
      <c r="N56" s="142"/>
      <c r="O56" s="142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2:33" x14ac:dyDescent="0.2">
      <c r="B57" s="142"/>
      <c r="C57" s="142"/>
      <c r="D57" s="142"/>
      <c r="E57" s="142"/>
      <c r="F57" s="142"/>
      <c r="G57" s="142"/>
      <c r="J57" s="142"/>
      <c r="K57" s="142"/>
      <c r="L57" s="142"/>
      <c r="M57" s="142"/>
      <c r="N57" s="142"/>
      <c r="O57" s="142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2:33" x14ac:dyDescent="0.2">
      <c r="B58" s="142"/>
      <c r="C58" s="142"/>
      <c r="D58" s="142"/>
      <c r="E58" s="142"/>
      <c r="F58" s="142"/>
      <c r="G58" s="142"/>
      <c r="J58" s="142"/>
      <c r="K58" s="142"/>
      <c r="L58" s="142"/>
      <c r="M58" s="142"/>
      <c r="N58" s="142"/>
      <c r="O58" s="142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</row>
    <row r="59" spans="2:33" x14ac:dyDescent="0.2">
      <c r="B59" s="142"/>
      <c r="C59" s="142"/>
      <c r="D59" s="142"/>
      <c r="E59" s="142"/>
      <c r="F59" s="142"/>
      <c r="G59" s="142"/>
      <c r="J59" s="142"/>
      <c r="K59" s="142"/>
      <c r="L59" s="142"/>
      <c r="M59" s="142"/>
      <c r="N59" s="142"/>
      <c r="O59" s="142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</row>
    <row r="60" spans="2:33" x14ac:dyDescent="0.2">
      <c r="B60" s="142"/>
      <c r="C60" s="142"/>
      <c r="D60" s="142"/>
      <c r="E60" s="142"/>
      <c r="F60" s="142"/>
      <c r="G60" s="142"/>
      <c r="J60" s="142"/>
      <c r="K60" s="142"/>
      <c r="L60" s="142"/>
      <c r="M60" s="142"/>
      <c r="N60" s="142"/>
      <c r="O60" s="142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2:33" x14ac:dyDescent="0.2">
      <c r="B61" s="142"/>
      <c r="C61" s="142"/>
      <c r="D61" s="142"/>
      <c r="E61" s="142"/>
      <c r="F61" s="142"/>
      <c r="G61" s="142"/>
      <c r="J61" s="142"/>
      <c r="K61" s="142"/>
      <c r="L61" s="142"/>
      <c r="M61" s="142"/>
      <c r="N61" s="142"/>
      <c r="O61" s="142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2:33" x14ac:dyDescent="0.2">
      <c r="B62" s="142"/>
      <c r="C62" s="142"/>
      <c r="D62" s="142"/>
      <c r="E62" s="142"/>
      <c r="F62" s="142"/>
      <c r="G62" s="142"/>
      <c r="J62" s="142"/>
      <c r="K62" s="142"/>
      <c r="L62" s="142"/>
      <c r="M62" s="142"/>
      <c r="N62" s="142"/>
      <c r="O62" s="142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2:33" x14ac:dyDescent="0.2">
      <c r="B63" s="142"/>
      <c r="C63" s="142"/>
      <c r="D63" s="142"/>
      <c r="E63" s="142"/>
      <c r="F63" s="142"/>
      <c r="G63" s="142"/>
      <c r="J63" s="142"/>
      <c r="K63" s="142"/>
      <c r="L63" s="142"/>
      <c r="M63" s="142"/>
      <c r="N63" s="142"/>
      <c r="O63" s="142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2:33" x14ac:dyDescent="0.2">
      <c r="B64" s="142"/>
      <c r="C64" s="142"/>
      <c r="D64" s="142"/>
      <c r="E64" s="142"/>
      <c r="F64" s="142"/>
      <c r="G64" s="142"/>
      <c r="J64" s="142"/>
      <c r="K64" s="142"/>
      <c r="L64" s="142"/>
      <c r="M64" s="142"/>
      <c r="N64" s="142"/>
      <c r="O64" s="142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2:33" x14ac:dyDescent="0.2">
      <c r="B65" s="142"/>
      <c r="C65" s="142"/>
      <c r="D65" s="142"/>
      <c r="E65" s="142"/>
      <c r="F65" s="142"/>
      <c r="G65" s="142"/>
      <c r="J65" s="142"/>
      <c r="K65" s="142"/>
      <c r="L65" s="142"/>
      <c r="M65" s="142"/>
      <c r="N65" s="142"/>
      <c r="O65" s="142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</row>
    <row r="66" spans="2:33" x14ac:dyDescent="0.2">
      <c r="B66" s="142"/>
      <c r="C66" s="142"/>
      <c r="D66" s="142"/>
      <c r="E66" s="142"/>
      <c r="F66" s="142"/>
      <c r="G66" s="142"/>
      <c r="J66" s="142"/>
      <c r="K66" s="142"/>
      <c r="L66" s="142"/>
      <c r="M66" s="142"/>
      <c r="N66" s="142"/>
      <c r="O66" s="142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</row>
    <row r="67" spans="2:33" x14ac:dyDescent="0.2">
      <c r="B67" s="142"/>
      <c r="C67" s="142"/>
      <c r="D67" s="142"/>
      <c r="E67" s="142"/>
      <c r="F67" s="142"/>
      <c r="G67" s="142"/>
      <c r="J67" s="142"/>
      <c r="K67" s="142"/>
      <c r="L67" s="142"/>
      <c r="M67" s="142"/>
      <c r="N67" s="142"/>
      <c r="O67" s="142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</row>
    <row r="68" spans="2:33" x14ac:dyDescent="0.2">
      <c r="B68" s="142"/>
      <c r="C68" s="142"/>
      <c r="D68" s="142"/>
      <c r="E68" s="142"/>
      <c r="F68" s="142"/>
      <c r="G68" s="142"/>
      <c r="J68" s="142"/>
      <c r="K68" s="142"/>
      <c r="L68" s="142"/>
      <c r="M68" s="142"/>
      <c r="N68" s="142"/>
      <c r="O68" s="142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</row>
    <row r="69" spans="2:33" x14ac:dyDescent="0.2">
      <c r="B69" s="142"/>
      <c r="C69" s="142"/>
      <c r="D69" s="142"/>
      <c r="E69" s="142"/>
      <c r="F69" s="142"/>
      <c r="G69" s="142"/>
      <c r="J69" s="142"/>
      <c r="K69" s="142"/>
      <c r="L69" s="142"/>
      <c r="M69" s="142"/>
      <c r="N69" s="142"/>
      <c r="O69" s="142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</row>
    <row r="70" spans="2:33" x14ac:dyDescent="0.2">
      <c r="B70" s="142"/>
      <c r="C70" s="142"/>
      <c r="D70" s="142"/>
      <c r="E70" s="142"/>
      <c r="F70" s="142"/>
      <c r="G70" s="142"/>
      <c r="J70" s="142"/>
      <c r="K70" s="142"/>
      <c r="L70" s="142"/>
      <c r="M70" s="142"/>
      <c r="N70" s="142"/>
      <c r="O70" s="142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2:33" x14ac:dyDescent="0.2">
      <c r="B71" s="142"/>
      <c r="C71" s="142"/>
      <c r="D71" s="142"/>
      <c r="E71" s="142"/>
      <c r="F71" s="142"/>
      <c r="G71" s="142"/>
      <c r="J71" s="142"/>
      <c r="K71" s="142"/>
      <c r="L71" s="142"/>
      <c r="M71" s="142"/>
      <c r="N71" s="142"/>
      <c r="O71" s="142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</row>
    <row r="72" spans="2:33" x14ac:dyDescent="0.2">
      <c r="B72" s="142"/>
      <c r="C72" s="142"/>
      <c r="D72" s="142"/>
      <c r="E72" s="142"/>
      <c r="F72" s="142"/>
      <c r="G72" s="142"/>
      <c r="J72" s="142"/>
      <c r="K72" s="142"/>
      <c r="L72" s="142"/>
      <c r="M72" s="142"/>
      <c r="N72" s="142"/>
      <c r="O72" s="142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</row>
  </sheetData>
  <mergeCells count="2">
    <mergeCell ref="A2:O2"/>
    <mergeCell ref="A1:O1"/>
  </mergeCells>
  <printOptions horizontalCentered="1"/>
  <pageMargins left="0.5" right="0.5" top="0.5" bottom="0.5" header="0.25" footer="0.25"/>
  <pageSetup paperSize="9" scale="6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72"/>
  <sheetViews>
    <sheetView showGridLines="0" zoomScaleNormal="100" workbookViewId="0">
      <pane xSplit="1" ySplit="4" topLeftCell="B20" activePane="bottomRight" state="frozen"/>
      <selection pane="topRight" activeCell="B1" sqref="B1"/>
      <selection pane="bottomLeft" activeCell="A4" sqref="A4"/>
      <selection pane="bottomRight" activeCell="B35" sqref="B35"/>
    </sheetView>
  </sheetViews>
  <sheetFormatPr defaultRowHeight="12.75" x14ac:dyDescent="0.2"/>
  <cols>
    <col min="1" max="1" width="41.28515625" style="16" bestFit="1" customWidth="1"/>
    <col min="2" max="7" width="12.140625" style="144" customWidth="1"/>
    <col min="8" max="8" width="13.7109375" style="144" customWidth="1"/>
    <col min="9" max="12" width="12.140625" style="144" customWidth="1"/>
    <col min="13" max="13" width="15" style="146" bestFit="1" customWidth="1"/>
    <col min="14" max="14" width="12.140625" style="144" customWidth="1"/>
    <col min="15" max="15" width="15" style="144" bestFit="1" customWidth="1"/>
  </cols>
  <sheetData>
    <row r="1" spans="1:16" s="149" customFormat="1" ht="20.100000000000001" customHeight="1" x14ac:dyDescent="0.25">
      <c r="A1" s="190" t="s">
        <v>42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16" s="149" customFormat="1" ht="20.100000000000001" customHeight="1" x14ac:dyDescent="0.25">
      <c r="A2" s="190" t="s">
        <v>43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16" s="1" customFormat="1" ht="21" customHeight="1" x14ac:dyDescent="0.2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 t="s">
        <v>45</v>
      </c>
    </row>
    <row r="4" spans="1:16" s="3" customFormat="1" ht="29.25" customHeight="1" x14ac:dyDescent="0.2">
      <c r="A4" s="153"/>
      <c r="B4" s="154" t="s">
        <v>0</v>
      </c>
      <c r="C4" s="154" t="s">
        <v>1</v>
      </c>
      <c r="D4" s="154" t="s">
        <v>2</v>
      </c>
      <c r="E4" s="154" t="s">
        <v>3</v>
      </c>
      <c r="F4" s="154" t="s">
        <v>4</v>
      </c>
      <c r="G4" s="154" t="s">
        <v>5</v>
      </c>
      <c r="H4" s="154" t="s">
        <v>44</v>
      </c>
      <c r="I4" s="154" t="s">
        <v>7</v>
      </c>
      <c r="J4" s="154" t="s">
        <v>8</v>
      </c>
      <c r="K4" s="154" t="s">
        <v>9</v>
      </c>
      <c r="L4" s="154" t="s">
        <v>10</v>
      </c>
      <c r="M4" s="154" t="s">
        <v>11</v>
      </c>
      <c r="N4" s="154" t="s">
        <v>12</v>
      </c>
      <c r="O4" s="155" t="s">
        <v>13</v>
      </c>
    </row>
    <row r="5" spans="1:16" s="3" customFormat="1" ht="17.25" customHeight="1" x14ac:dyDescent="0.2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8"/>
    </row>
    <row r="6" spans="1:16" s="3" customFormat="1" ht="17.25" customHeight="1" x14ac:dyDescent="0.2">
      <c r="A6" s="159" t="s">
        <v>14</v>
      </c>
      <c r="B6" s="157">
        <v>268</v>
      </c>
      <c r="C6" s="157">
        <v>20116</v>
      </c>
      <c r="D6" s="157">
        <v>25678.400000000001</v>
      </c>
      <c r="E6" s="157">
        <v>334.7</v>
      </c>
      <c r="F6" s="157">
        <v>1</v>
      </c>
      <c r="G6" s="157">
        <v>3640</v>
      </c>
      <c r="H6" s="157">
        <v>11307</v>
      </c>
      <c r="I6" s="157">
        <v>0</v>
      </c>
      <c r="J6" s="157">
        <v>0</v>
      </c>
      <c r="K6" s="157">
        <v>6344.3019999999997</v>
      </c>
      <c r="L6" s="157">
        <v>12498</v>
      </c>
      <c r="M6" s="157">
        <v>0</v>
      </c>
      <c r="N6" s="157">
        <v>17.311</v>
      </c>
      <c r="O6" s="158">
        <f t="shared" ref="O6:O33" si="0">SUM(B6:N6)</f>
        <v>80204.713000000003</v>
      </c>
      <c r="P6" s="4"/>
    </row>
    <row r="7" spans="1:16" s="3" customFormat="1" ht="17.25" customHeight="1" x14ac:dyDescent="0.2">
      <c r="A7" s="159" t="s">
        <v>15</v>
      </c>
      <c r="B7" s="157">
        <v>0</v>
      </c>
      <c r="C7" s="157">
        <v>88955</v>
      </c>
      <c r="D7" s="157">
        <v>280643</v>
      </c>
      <c r="E7" s="157">
        <v>15465</v>
      </c>
      <c r="F7" s="157">
        <v>0</v>
      </c>
      <c r="G7" s="157">
        <v>0</v>
      </c>
      <c r="H7" s="157">
        <v>17727</v>
      </c>
      <c r="I7" s="157">
        <v>0</v>
      </c>
      <c r="J7" s="157">
        <v>53250</v>
      </c>
      <c r="K7" s="157">
        <v>0</v>
      </c>
      <c r="L7" s="157">
        <v>81800</v>
      </c>
      <c r="M7" s="157">
        <v>0</v>
      </c>
      <c r="N7" s="157">
        <v>24025.751</v>
      </c>
      <c r="O7" s="158">
        <f t="shared" si="0"/>
        <v>561865.75100000005</v>
      </c>
      <c r="P7" s="4"/>
    </row>
    <row r="8" spans="1:16" s="3" customFormat="1" ht="17.25" customHeight="1" x14ac:dyDescent="0.2">
      <c r="A8" s="159" t="s">
        <v>16</v>
      </c>
      <c r="B8" s="157">
        <v>0</v>
      </c>
      <c r="C8" s="157">
        <v>376521</v>
      </c>
      <c r="D8" s="157">
        <v>969035</v>
      </c>
      <c r="E8" s="157">
        <v>0</v>
      </c>
      <c r="F8" s="157">
        <v>0</v>
      </c>
      <c r="G8" s="157">
        <v>102500</v>
      </c>
      <c r="H8" s="157">
        <f>(18184216+925000)/1000</f>
        <v>19109.216</v>
      </c>
      <c r="I8" s="157">
        <v>1650</v>
      </c>
      <c r="J8" s="157">
        <v>301750</v>
      </c>
      <c r="K8" s="157">
        <v>0</v>
      </c>
      <c r="L8" s="157">
        <v>150200</v>
      </c>
      <c r="M8" s="157">
        <v>100500</v>
      </c>
      <c r="N8" s="157">
        <v>19934.744999999999</v>
      </c>
      <c r="O8" s="158">
        <f t="shared" si="0"/>
        <v>2041199.9610000001</v>
      </c>
      <c r="P8" s="4"/>
    </row>
    <row r="9" spans="1:16" s="3" customFormat="1" ht="17.25" customHeight="1" x14ac:dyDescent="0.2">
      <c r="A9" s="159" t="s">
        <v>17</v>
      </c>
      <c r="B9" s="157">
        <v>3738</v>
      </c>
      <c r="C9" s="157">
        <v>14759</v>
      </c>
      <c r="D9" s="157">
        <v>145623.4</v>
      </c>
      <c r="E9" s="157">
        <v>1300.0999999999999</v>
      </c>
      <c r="F9" s="157">
        <v>96</v>
      </c>
      <c r="G9" s="157">
        <v>5459</v>
      </c>
      <c r="H9" s="157">
        <v>6420</v>
      </c>
      <c r="I9" s="157">
        <v>445.81338</v>
      </c>
      <c r="J9" s="157">
        <v>6972</v>
      </c>
      <c r="K9" s="157">
        <v>0</v>
      </c>
      <c r="L9" s="157">
        <v>23302</v>
      </c>
      <c r="M9" s="157">
        <v>1504.367</v>
      </c>
      <c r="N9" s="157">
        <v>4597.03</v>
      </c>
      <c r="O9" s="158">
        <f t="shared" si="0"/>
        <v>214216.71038</v>
      </c>
      <c r="P9" s="4"/>
    </row>
    <row r="10" spans="1:16" s="3" customFormat="1" ht="17.25" customHeight="1" x14ac:dyDescent="0.2">
      <c r="A10" s="159" t="s">
        <v>18</v>
      </c>
      <c r="B10" s="157">
        <v>74148</v>
      </c>
      <c r="C10" s="157">
        <v>72125</v>
      </c>
      <c r="D10" s="157">
        <v>9874596</v>
      </c>
      <c r="E10" s="157">
        <v>0</v>
      </c>
      <c r="F10" s="157">
        <v>0</v>
      </c>
      <c r="G10" s="157">
        <v>29789</v>
      </c>
      <c r="H10" s="157">
        <v>500</v>
      </c>
      <c r="I10" s="157">
        <v>0</v>
      </c>
      <c r="J10" s="157">
        <v>0</v>
      </c>
      <c r="K10" s="157">
        <v>0</v>
      </c>
      <c r="L10" s="157">
        <v>586</v>
      </c>
      <c r="M10" s="157">
        <v>2877696.0550000002</v>
      </c>
      <c r="N10" s="157">
        <v>0</v>
      </c>
      <c r="O10" s="158">
        <f t="shared" si="0"/>
        <v>12929440.055</v>
      </c>
      <c r="P10" s="4"/>
    </row>
    <row r="11" spans="1:16" s="3" customFormat="1" ht="17.25" customHeight="1" x14ac:dyDescent="0.2">
      <c r="A11" s="159" t="s">
        <v>19</v>
      </c>
      <c r="B11" s="157">
        <f>159416+25377</f>
        <v>184793</v>
      </c>
      <c r="C11" s="157">
        <v>4960483</v>
      </c>
      <c r="D11" s="157">
        <f>(4388+52250000)/1000</f>
        <v>52254.387999999999</v>
      </c>
      <c r="E11" s="157">
        <v>0</v>
      </c>
      <c r="F11" s="157">
        <v>0</v>
      </c>
      <c r="G11" s="160">
        <v>150641</v>
      </c>
      <c r="H11" s="157">
        <f>(349877780+176000+6181336+4572000+5413611+722500+216283102+19122300+11560000+28482510+765+49757302+547500+24815212+39107300+2427750)/1000</f>
        <v>759046.96799999999</v>
      </c>
      <c r="I11" s="157">
        <v>225</v>
      </c>
      <c r="J11" s="157">
        <v>62066</v>
      </c>
      <c r="K11" s="157">
        <v>71809.320000000007</v>
      </c>
      <c r="L11" s="157">
        <f>(1863043035/1000)-L12-L13-L14</f>
        <v>1436900.8659999999</v>
      </c>
      <c r="M11" s="157">
        <v>3596182.3050000002</v>
      </c>
      <c r="N11" s="157">
        <v>16792.207999999999</v>
      </c>
      <c r="O11" s="158">
        <f t="shared" si="0"/>
        <v>11291194.055000002</v>
      </c>
      <c r="P11" s="4"/>
    </row>
    <row r="12" spans="1:16" s="3" customFormat="1" ht="17.25" customHeight="1" x14ac:dyDescent="0.2">
      <c r="A12" s="159" t="s">
        <v>20</v>
      </c>
      <c r="B12" s="157">
        <f>57754+68362</f>
        <v>126116</v>
      </c>
      <c r="C12" s="157">
        <v>474434</v>
      </c>
      <c r="D12" s="157">
        <f>(20000000+64311830)/1000</f>
        <v>84311.83</v>
      </c>
      <c r="E12" s="157">
        <v>0</v>
      </c>
      <c r="F12" s="157">
        <v>22304</v>
      </c>
      <c r="G12" s="157">
        <v>41852</v>
      </c>
      <c r="H12" s="157">
        <v>60442</v>
      </c>
      <c r="I12" s="157">
        <v>1039.06</v>
      </c>
      <c r="J12" s="157">
        <v>3121</v>
      </c>
      <c r="K12" s="157">
        <v>0</v>
      </c>
      <c r="L12" s="157">
        <f>(14970+185890+460960+12740933+1064500+298440+9142370+5382653)/1000</f>
        <v>29290.716</v>
      </c>
      <c r="M12" s="157">
        <v>354973.28399999999</v>
      </c>
      <c r="N12" s="157">
        <v>4947.7380000000003</v>
      </c>
      <c r="O12" s="158">
        <f t="shared" si="0"/>
        <v>1202831.628</v>
      </c>
      <c r="P12" s="4"/>
    </row>
    <row r="13" spans="1:16" s="3" customFormat="1" ht="17.25" customHeight="1" x14ac:dyDescent="0.2">
      <c r="A13" s="159" t="s">
        <v>21</v>
      </c>
      <c r="B13" s="157">
        <v>251373</v>
      </c>
      <c r="C13" s="157">
        <v>104443</v>
      </c>
      <c r="D13" s="157">
        <v>20839</v>
      </c>
      <c r="E13" s="157">
        <v>0</v>
      </c>
      <c r="F13" s="157">
        <v>0</v>
      </c>
      <c r="G13" s="157">
        <v>78592</v>
      </c>
      <c r="H13" s="157">
        <f>(3009223+17100017+7392630+4694982+3304447+289373+1245457+332806+1562588+940014+534797+975079+542345+8058393+8840080+3894862+8476706+19391478+3358313+1019793+927458)/1000</f>
        <v>95890.841</v>
      </c>
      <c r="I13" s="157">
        <v>0</v>
      </c>
      <c r="J13" s="157">
        <v>0</v>
      </c>
      <c r="K13" s="157">
        <v>19886.385999999999</v>
      </c>
      <c r="L13" s="157">
        <v>3576</v>
      </c>
      <c r="M13" s="157">
        <v>0</v>
      </c>
      <c r="N13" s="157">
        <v>0</v>
      </c>
      <c r="O13" s="158">
        <f t="shared" si="0"/>
        <v>574600.22699999996</v>
      </c>
      <c r="P13" s="4"/>
    </row>
    <row r="14" spans="1:16" s="3" customFormat="1" ht="17.25" customHeight="1" x14ac:dyDescent="0.2">
      <c r="A14" s="159" t="s">
        <v>22</v>
      </c>
      <c r="B14" s="157">
        <v>0</v>
      </c>
      <c r="C14" s="157">
        <v>3211038</v>
      </c>
      <c r="D14" s="157">
        <f>(302777+200541850)/1000</f>
        <v>200844.62700000001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63080.036</v>
      </c>
      <c r="L14" s="157">
        <f>(1409940+1893176+2187604+4632390+2402460+2565297+44399169+4107950+9320970+4649517+4195426+1778677+1344864+3507815+2862616+28706001+2403591+2959145+5344664+2591327+575282+2384344+2420186+1980177+2865936+7356868+626193+2375944+1133421+114257373+281804+22627665+11976525+7458900+17790584+10082057+10826051+10053300+9413775+14738845+5109984+3677640)/1000</f>
        <v>393275.45299999998</v>
      </c>
      <c r="M14" s="157">
        <v>0</v>
      </c>
      <c r="N14" s="157">
        <v>3938.4569999999999</v>
      </c>
      <c r="O14" s="158">
        <f t="shared" si="0"/>
        <v>3872176.5729999994</v>
      </c>
      <c r="P14" s="4"/>
    </row>
    <row r="15" spans="1:16" s="3" customFormat="1" ht="17.25" customHeight="1" x14ac:dyDescent="0.2">
      <c r="A15" s="159" t="s">
        <v>23</v>
      </c>
      <c r="B15" s="157">
        <v>307308</v>
      </c>
      <c r="C15" s="157">
        <v>2819773</v>
      </c>
      <c r="D15" s="157">
        <v>0</v>
      </c>
      <c r="E15" s="157">
        <v>0</v>
      </c>
      <c r="F15" s="157">
        <v>999</v>
      </c>
      <c r="G15" s="157">
        <v>4732</v>
      </c>
      <c r="H15" s="157">
        <v>66755</v>
      </c>
      <c r="I15" s="157">
        <v>300</v>
      </c>
      <c r="J15" s="157">
        <v>807725</v>
      </c>
      <c r="K15" s="157">
        <v>0</v>
      </c>
      <c r="L15" s="157">
        <v>68880</v>
      </c>
      <c r="M15" s="157">
        <v>8483978.2320000008</v>
      </c>
      <c r="N15" s="157">
        <v>57699.614999999998</v>
      </c>
      <c r="O15" s="158">
        <f t="shared" si="0"/>
        <v>12618149.847000001</v>
      </c>
      <c r="P15" s="4"/>
    </row>
    <row r="16" spans="1:16" s="3" customFormat="1" ht="17.25" customHeight="1" x14ac:dyDescent="0.2">
      <c r="A16" s="159" t="s">
        <v>24</v>
      </c>
      <c r="B16" s="157">
        <v>42153</v>
      </c>
      <c r="C16" s="157">
        <v>171360</v>
      </c>
      <c r="D16" s="157">
        <v>0</v>
      </c>
      <c r="E16" s="157">
        <v>0</v>
      </c>
      <c r="F16" s="157">
        <v>0</v>
      </c>
      <c r="G16" s="157">
        <v>47323</v>
      </c>
      <c r="H16" s="157">
        <v>42000</v>
      </c>
      <c r="I16" s="157">
        <v>0</v>
      </c>
      <c r="J16" s="157">
        <v>0</v>
      </c>
      <c r="K16" s="157">
        <v>0</v>
      </c>
      <c r="L16" s="157">
        <v>0</v>
      </c>
      <c r="M16" s="157">
        <v>13334.59</v>
      </c>
      <c r="N16" s="157">
        <v>88945.057000000001</v>
      </c>
      <c r="O16" s="158">
        <f t="shared" si="0"/>
        <v>405115.647</v>
      </c>
      <c r="P16" s="4"/>
    </row>
    <row r="17" spans="1:16" s="3" customFormat="1" ht="17.25" customHeight="1" x14ac:dyDescent="0.2">
      <c r="A17" s="159" t="s">
        <v>25</v>
      </c>
      <c r="B17" s="157">
        <v>135153</v>
      </c>
      <c r="C17" s="157">
        <v>1926492</v>
      </c>
      <c r="D17" s="157">
        <v>177106.2</v>
      </c>
      <c r="E17" s="157">
        <v>3261</v>
      </c>
      <c r="F17" s="157">
        <v>9907</v>
      </c>
      <c r="G17" s="157">
        <v>75281</v>
      </c>
      <c r="H17" s="157">
        <v>58458</v>
      </c>
      <c r="I17" s="157">
        <v>28225.001780000002</v>
      </c>
      <c r="J17" s="157">
        <v>226986</v>
      </c>
      <c r="K17" s="157">
        <v>104003.31299999999</v>
      </c>
      <c r="L17" s="157">
        <v>372910</v>
      </c>
      <c r="M17" s="157">
        <v>1425279.882</v>
      </c>
      <c r="N17" s="157">
        <v>41616</v>
      </c>
      <c r="O17" s="158">
        <f t="shared" si="0"/>
        <v>4584678.3967800001</v>
      </c>
      <c r="P17" s="4"/>
    </row>
    <row r="18" spans="1:16" s="3" customFormat="1" ht="17.25" customHeight="1" x14ac:dyDescent="0.2">
      <c r="A18" s="159" t="s">
        <v>26</v>
      </c>
      <c r="B18" s="157">
        <v>0</v>
      </c>
      <c r="C18" s="157">
        <v>337112</v>
      </c>
      <c r="D18" s="157">
        <v>29716.3</v>
      </c>
      <c r="E18" s="157">
        <v>0</v>
      </c>
      <c r="F18" s="157">
        <v>0</v>
      </c>
      <c r="G18" s="157">
        <v>0</v>
      </c>
      <c r="H18" s="157">
        <v>19195</v>
      </c>
      <c r="I18" s="157">
        <v>1430.9684299999999</v>
      </c>
      <c r="J18" s="157">
        <v>0</v>
      </c>
      <c r="K18" s="157">
        <v>0</v>
      </c>
      <c r="L18" s="157">
        <v>0</v>
      </c>
      <c r="M18" s="157">
        <v>18899.571</v>
      </c>
      <c r="N18" s="157">
        <v>0</v>
      </c>
      <c r="O18" s="158">
        <f t="shared" si="0"/>
        <v>406353.83942999999</v>
      </c>
      <c r="P18" s="4"/>
    </row>
    <row r="19" spans="1:16" s="3" customFormat="1" ht="17.25" customHeight="1" x14ac:dyDescent="0.2">
      <c r="A19" s="159" t="s">
        <v>27</v>
      </c>
      <c r="B19" s="157">
        <v>17785</v>
      </c>
      <c r="C19" s="157">
        <v>109603</v>
      </c>
      <c r="D19" s="157">
        <v>41222</v>
      </c>
      <c r="E19" s="157">
        <v>1853.8</v>
      </c>
      <c r="F19" s="157">
        <v>2319</v>
      </c>
      <c r="G19" s="157">
        <v>23234</v>
      </c>
      <c r="H19" s="157">
        <v>27380</v>
      </c>
      <c r="I19" s="157">
        <v>455</v>
      </c>
      <c r="J19" s="157">
        <v>36981</v>
      </c>
      <c r="K19" s="157">
        <v>17295.692999999999</v>
      </c>
      <c r="L19" s="157">
        <v>33205</v>
      </c>
      <c r="M19" s="157">
        <v>112014.179</v>
      </c>
      <c r="N19" s="157">
        <v>3420.8829999999998</v>
      </c>
      <c r="O19" s="158">
        <f t="shared" si="0"/>
        <v>426768.55499999999</v>
      </c>
      <c r="P19" s="4"/>
    </row>
    <row r="20" spans="1:16" s="3" customFormat="1" ht="17.25" customHeight="1" x14ac:dyDescent="0.2">
      <c r="A20" s="159" t="s">
        <v>28</v>
      </c>
      <c r="B20" s="157">
        <v>5370</v>
      </c>
      <c r="C20" s="157">
        <v>11016</v>
      </c>
      <c r="D20" s="157">
        <v>0</v>
      </c>
      <c r="E20" s="157">
        <v>0</v>
      </c>
      <c r="F20" s="157">
        <v>21</v>
      </c>
      <c r="G20" s="157">
        <v>0</v>
      </c>
      <c r="H20" s="157">
        <v>15388</v>
      </c>
      <c r="I20" s="157">
        <v>0</v>
      </c>
      <c r="J20" s="157">
        <v>0</v>
      </c>
      <c r="K20" s="157">
        <v>0</v>
      </c>
      <c r="L20" s="157">
        <v>1805</v>
      </c>
      <c r="M20" s="157">
        <v>539914.42599999998</v>
      </c>
      <c r="N20" s="157">
        <v>107.917</v>
      </c>
      <c r="O20" s="158">
        <f t="shared" si="0"/>
        <v>573622.34299999999</v>
      </c>
      <c r="P20" s="4"/>
    </row>
    <row r="21" spans="1:16" s="3" customFormat="1" ht="17.25" customHeight="1" x14ac:dyDescent="0.2">
      <c r="A21" s="159" t="s">
        <v>29</v>
      </c>
      <c r="B21" s="157">
        <v>0</v>
      </c>
      <c r="C21" s="157">
        <f>(22500000-16000000)/1000</f>
        <v>6500</v>
      </c>
      <c r="D21" s="157">
        <v>0</v>
      </c>
      <c r="E21" s="157">
        <v>0</v>
      </c>
      <c r="F21" s="157">
        <v>0</v>
      </c>
      <c r="G21" s="157">
        <v>0</v>
      </c>
      <c r="H21" s="157">
        <v>259</v>
      </c>
      <c r="I21" s="157">
        <v>224</v>
      </c>
      <c r="J21" s="157">
        <v>0</v>
      </c>
      <c r="K21" s="157">
        <v>0</v>
      </c>
      <c r="L21" s="157">
        <v>0</v>
      </c>
      <c r="M21" s="157">
        <v>0</v>
      </c>
      <c r="N21" s="157">
        <v>75.575000000000003</v>
      </c>
      <c r="O21" s="158">
        <f t="shared" si="0"/>
        <v>7058.5749999999998</v>
      </c>
      <c r="P21" s="4"/>
    </row>
    <row r="22" spans="1:16" s="3" customFormat="1" ht="17.25" customHeight="1" x14ac:dyDescent="0.2">
      <c r="A22" s="159" t="s">
        <v>30</v>
      </c>
      <c r="B22" s="157">
        <v>0</v>
      </c>
      <c r="C22" s="157">
        <v>13654</v>
      </c>
      <c r="D22" s="157">
        <v>2226.3000000000002</v>
      </c>
      <c r="E22" s="157">
        <v>0</v>
      </c>
      <c r="F22" s="157">
        <v>0</v>
      </c>
      <c r="G22" s="157">
        <v>14755</v>
      </c>
      <c r="H22" s="157">
        <v>32088</v>
      </c>
      <c r="I22" s="157">
        <v>0</v>
      </c>
      <c r="J22" s="157">
        <v>0</v>
      </c>
      <c r="K22" s="157">
        <v>0</v>
      </c>
      <c r="L22" s="157">
        <v>0</v>
      </c>
      <c r="M22" s="157">
        <v>1725.192</v>
      </c>
      <c r="N22" s="157">
        <v>0</v>
      </c>
      <c r="O22" s="158">
        <f t="shared" si="0"/>
        <v>64448.492000000006</v>
      </c>
      <c r="P22" s="4"/>
    </row>
    <row r="23" spans="1:16" s="3" customFormat="1" ht="17.25" customHeight="1" x14ac:dyDescent="0.2">
      <c r="A23" s="159" t="s">
        <v>31</v>
      </c>
      <c r="B23" s="157">
        <v>0</v>
      </c>
      <c r="C23" s="157">
        <f>(21246597+6210000)/1000</f>
        <v>27456.597000000002</v>
      </c>
      <c r="D23" s="157">
        <v>0</v>
      </c>
      <c r="E23" s="157">
        <v>0</v>
      </c>
      <c r="F23" s="157">
        <v>0</v>
      </c>
      <c r="G23" s="157">
        <v>57672</v>
      </c>
      <c r="H23" s="157">
        <v>115518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0</v>
      </c>
      <c r="O23" s="158">
        <f t="shared" si="0"/>
        <v>200646.59700000001</v>
      </c>
      <c r="P23" s="4"/>
    </row>
    <row r="24" spans="1:16" s="3" customFormat="1" ht="17.25" customHeight="1" x14ac:dyDescent="0.2">
      <c r="A24" s="159" t="s">
        <v>32</v>
      </c>
      <c r="B24" s="157">
        <v>0</v>
      </c>
      <c r="C24" s="157">
        <v>12</v>
      </c>
      <c r="D24" s="157">
        <v>54</v>
      </c>
      <c r="E24" s="157">
        <v>642.4</v>
      </c>
      <c r="F24" s="157">
        <v>84</v>
      </c>
      <c r="G24" s="157">
        <v>0</v>
      </c>
      <c r="H24" s="157">
        <v>32</v>
      </c>
      <c r="I24" s="157">
        <v>0.75258999999999998</v>
      </c>
      <c r="J24" s="157">
        <v>70</v>
      </c>
      <c r="K24" s="157">
        <v>0</v>
      </c>
      <c r="L24" s="157">
        <v>4</v>
      </c>
      <c r="M24" s="157">
        <v>9625.5030000000006</v>
      </c>
      <c r="N24" s="157">
        <v>6.8479999999999999</v>
      </c>
      <c r="O24" s="158">
        <f t="shared" si="0"/>
        <v>10531.50359</v>
      </c>
      <c r="P24" s="4"/>
    </row>
    <row r="25" spans="1:16" s="3" customFormat="1" ht="17.25" customHeight="1" x14ac:dyDescent="0.2">
      <c r="A25" s="159" t="s">
        <v>33</v>
      </c>
      <c r="B25" s="157">
        <v>278037</v>
      </c>
      <c r="C25" s="157">
        <v>58381</v>
      </c>
      <c r="D25" s="157">
        <v>238656</v>
      </c>
      <c r="E25" s="157">
        <v>3990.7</v>
      </c>
      <c r="F25" s="157">
        <v>1581</v>
      </c>
      <c r="G25" s="157">
        <v>96635</v>
      </c>
      <c r="H25" s="157">
        <v>2005</v>
      </c>
      <c r="I25" s="157">
        <v>6567</v>
      </c>
      <c r="J25" s="157">
        <v>41744</v>
      </c>
      <c r="K25" s="157">
        <v>20149</v>
      </c>
      <c r="L25" s="157">
        <v>233462</v>
      </c>
      <c r="M25" s="157">
        <v>731010</v>
      </c>
      <c r="N25" s="157">
        <v>26839.905999999999</v>
      </c>
      <c r="O25" s="158">
        <f t="shared" si="0"/>
        <v>1739057.6059999999</v>
      </c>
      <c r="P25" s="4"/>
    </row>
    <row r="26" spans="1:16" s="3" customFormat="1" ht="17.25" customHeight="1" x14ac:dyDescent="0.2">
      <c r="A26" s="159" t="s">
        <v>34</v>
      </c>
      <c r="B26" s="157">
        <v>2604</v>
      </c>
      <c r="C26" s="157">
        <v>2899345</v>
      </c>
      <c r="D26" s="157">
        <v>96640</v>
      </c>
      <c r="E26" s="157">
        <v>23047.5</v>
      </c>
      <c r="F26" s="157">
        <v>25500</v>
      </c>
      <c r="G26" s="157">
        <v>2699</v>
      </c>
      <c r="H26" s="157">
        <v>117923</v>
      </c>
      <c r="I26" s="157">
        <v>22336</v>
      </c>
      <c r="J26" s="157">
        <v>677165</v>
      </c>
      <c r="K26" s="157">
        <v>8000</v>
      </c>
      <c r="L26" s="157">
        <v>57859</v>
      </c>
      <c r="M26" s="157">
        <v>756773</v>
      </c>
      <c r="N26" s="157">
        <v>75000</v>
      </c>
      <c r="O26" s="158">
        <f t="shared" si="0"/>
        <v>4764891.5</v>
      </c>
      <c r="P26" s="4"/>
    </row>
    <row r="27" spans="1:16" s="3" customFormat="1" ht="17.25" customHeight="1" x14ac:dyDescent="0.2">
      <c r="A27" s="159" t="s">
        <v>35</v>
      </c>
      <c r="B27" s="157">
        <v>0</v>
      </c>
      <c r="C27" s="157">
        <f>(621873039+172500000+50000000)/1000</f>
        <v>844373.03899999999</v>
      </c>
      <c r="D27" s="157">
        <v>0</v>
      </c>
      <c r="E27" s="157">
        <v>0</v>
      </c>
      <c r="F27" s="157">
        <v>19785</v>
      </c>
      <c r="G27" s="157">
        <v>84500</v>
      </c>
      <c r="H27" s="157">
        <v>0</v>
      </c>
      <c r="I27" s="157">
        <v>0</v>
      </c>
      <c r="J27" s="157">
        <v>10000</v>
      </c>
      <c r="K27" s="157">
        <v>135901.33900000001</v>
      </c>
      <c r="L27" s="157">
        <v>10000</v>
      </c>
      <c r="M27" s="157">
        <v>186252.329</v>
      </c>
      <c r="N27" s="157">
        <v>0</v>
      </c>
      <c r="O27" s="158">
        <f t="shared" si="0"/>
        <v>1290811.7069999999</v>
      </c>
      <c r="P27" s="4"/>
    </row>
    <row r="28" spans="1:16" s="3" customFormat="1" ht="17.25" customHeight="1" x14ac:dyDescent="0.2">
      <c r="A28" s="159" t="s">
        <v>36</v>
      </c>
      <c r="B28" s="157">
        <f>648+16183</f>
        <v>16831</v>
      </c>
      <c r="C28" s="157">
        <f>(37301504+150842+22174368)/1000</f>
        <v>59626.714</v>
      </c>
      <c r="D28" s="157">
        <v>7329</v>
      </c>
      <c r="E28" s="157">
        <v>0</v>
      </c>
      <c r="F28" s="157">
        <v>562</v>
      </c>
      <c r="G28" s="157">
        <v>4483</v>
      </c>
      <c r="H28" s="157">
        <v>3045</v>
      </c>
      <c r="I28" s="157">
        <v>1599</v>
      </c>
      <c r="J28" s="157">
        <v>4582</v>
      </c>
      <c r="K28" s="157">
        <v>0</v>
      </c>
      <c r="L28" s="157">
        <v>6374</v>
      </c>
      <c r="M28" s="157">
        <v>12612.450999999999</v>
      </c>
      <c r="N28" s="157">
        <v>0</v>
      </c>
      <c r="O28" s="158">
        <f t="shared" si="0"/>
        <v>117044.16500000001</v>
      </c>
      <c r="P28" s="4"/>
    </row>
    <row r="29" spans="1:16" s="3" customFormat="1" ht="17.25" customHeight="1" x14ac:dyDescent="0.2">
      <c r="A29" s="159" t="s">
        <v>37</v>
      </c>
      <c r="B29" s="157">
        <v>0</v>
      </c>
      <c r="C29" s="157">
        <v>13112</v>
      </c>
      <c r="D29" s="157">
        <v>3681583.4</v>
      </c>
      <c r="E29" s="157">
        <v>0</v>
      </c>
      <c r="F29" s="157">
        <v>0</v>
      </c>
      <c r="G29" s="157">
        <v>25342</v>
      </c>
      <c r="H29" s="157">
        <v>9181</v>
      </c>
      <c r="I29" s="157">
        <v>0</v>
      </c>
      <c r="J29" s="157">
        <v>0</v>
      </c>
      <c r="K29" s="157">
        <v>141649.198</v>
      </c>
      <c r="L29" s="157">
        <v>36787</v>
      </c>
      <c r="M29" s="157">
        <v>123244.01300000001</v>
      </c>
      <c r="N29" s="157">
        <v>0</v>
      </c>
      <c r="O29" s="158">
        <f t="shared" si="0"/>
        <v>4030898.6109999996</v>
      </c>
      <c r="P29" s="4"/>
    </row>
    <row r="30" spans="1:16" s="3" customFormat="1" ht="17.25" customHeight="1" x14ac:dyDescent="0.2">
      <c r="A30" s="159" t="s">
        <v>38</v>
      </c>
      <c r="B30" s="157">
        <v>2117</v>
      </c>
      <c r="C30" s="157">
        <v>3250</v>
      </c>
      <c r="D30" s="157">
        <v>1555</v>
      </c>
      <c r="E30" s="157">
        <v>250</v>
      </c>
      <c r="F30" s="157">
        <v>0</v>
      </c>
      <c r="G30" s="157">
        <v>36</v>
      </c>
      <c r="H30" s="157">
        <v>0</v>
      </c>
      <c r="I30" s="157">
        <v>0</v>
      </c>
      <c r="J30" s="157">
        <v>0</v>
      </c>
      <c r="K30" s="157">
        <v>0</v>
      </c>
      <c r="L30" s="157">
        <v>6183</v>
      </c>
      <c r="M30" s="157">
        <v>41571.131000000001</v>
      </c>
      <c r="N30" s="157">
        <v>349</v>
      </c>
      <c r="O30" s="158">
        <f t="shared" si="0"/>
        <v>55311.131000000001</v>
      </c>
      <c r="P30" s="4"/>
    </row>
    <row r="31" spans="1:16" s="3" customFormat="1" ht="17.25" customHeight="1" x14ac:dyDescent="0.2">
      <c r="A31" s="159" t="s">
        <v>39</v>
      </c>
      <c r="B31" s="157">
        <v>0</v>
      </c>
      <c r="C31" s="157">
        <v>0</v>
      </c>
      <c r="D31" s="157">
        <v>0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>
        <v>0</v>
      </c>
      <c r="N31" s="157">
        <v>0</v>
      </c>
      <c r="O31" s="158">
        <f t="shared" si="0"/>
        <v>0</v>
      </c>
      <c r="P31" s="4"/>
    </row>
    <row r="32" spans="1:16" s="3" customFormat="1" ht="17.25" customHeight="1" x14ac:dyDescent="0.2">
      <c r="A32" s="159" t="s">
        <v>40</v>
      </c>
      <c r="B32" s="157">
        <v>17139</v>
      </c>
      <c r="C32" s="157">
        <v>103483</v>
      </c>
      <c r="D32" s="157">
        <v>89115</v>
      </c>
      <c r="E32" s="157">
        <v>2923</v>
      </c>
      <c r="F32" s="157">
        <v>0</v>
      </c>
      <c r="G32" s="157">
        <v>19701</v>
      </c>
      <c r="H32" s="157">
        <v>6146</v>
      </c>
      <c r="I32" s="157">
        <v>3074</v>
      </c>
      <c r="J32" s="157">
        <v>13767</v>
      </c>
      <c r="K32" s="157">
        <v>24493.928</v>
      </c>
      <c r="L32" s="157">
        <f>(15284420+6372889+16491384+227022)/1000</f>
        <v>38375.714999999997</v>
      </c>
      <c r="M32" s="157">
        <v>826</v>
      </c>
      <c r="N32" s="157">
        <v>5962.5169999999998</v>
      </c>
      <c r="O32" s="158">
        <f t="shared" si="0"/>
        <v>325006.16000000003</v>
      </c>
      <c r="P32" s="4"/>
    </row>
    <row r="33" spans="1:35" s="3" customFormat="1" ht="17.25" customHeight="1" x14ac:dyDescent="0.2">
      <c r="A33" s="159" t="s">
        <v>41</v>
      </c>
      <c r="B33" s="157">
        <v>107600</v>
      </c>
      <c r="C33" s="157">
        <v>0</v>
      </c>
      <c r="D33" s="157">
        <v>0</v>
      </c>
      <c r="E33" s="157">
        <v>0</v>
      </c>
      <c r="F33" s="157">
        <v>5433</v>
      </c>
      <c r="G33" s="157">
        <v>1965</v>
      </c>
      <c r="H33" s="157">
        <v>4558</v>
      </c>
      <c r="I33" s="157">
        <v>0</v>
      </c>
      <c r="J33" s="157">
        <v>195605</v>
      </c>
      <c r="K33" s="157">
        <v>0</v>
      </c>
      <c r="L33" s="157">
        <v>4438</v>
      </c>
      <c r="M33" s="157">
        <v>239208.06400000001</v>
      </c>
      <c r="N33" s="157">
        <v>0</v>
      </c>
      <c r="O33" s="158">
        <f t="shared" si="0"/>
        <v>558807.06400000001</v>
      </c>
      <c r="P33" s="4"/>
    </row>
    <row r="34" spans="1:35" s="3" customFormat="1" ht="17.25" customHeight="1" x14ac:dyDescent="0.2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6"/>
      <c r="M34" s="157"/>
      <c r="N34" s="157"/>
      <c r="O34" s="158"/>
    </row>
    <row r="35" spans="1:35" s="3" customFormat="1" ht="17.25" customHeight="1" x14ac:dyDescent="0.2">
      <c r="A35" s="161" t="s">
        <v>13</v>
      </c>
      <c r="B35" s="158">
        <f>SUM(B6:B33)</f>
        <v>1572533</v>
      </c>
      <c r="C35" s="158">
        <f>SUM(C6:C33)</f>
        <v>18727423.350000001</v>
      </c>
      <c r="D35" s="158">
        <f>SUM(D6:D33)</f>
        <v>16019028.845000003</v>
      </c>
      <c r="E35" s="158">
        <f>SUM(E6:E33)</f>
        <v>53068.2</v>
      </c>
      <c r="F35" s="158">
        <f>SUM(F5:F33)</f>
        <v>88592</v>
      </c>
      <c r="G35" s="158">
        <f>SUM(G5:G33)</f>
        <v>870831</v>
      </c>
      <c r="H35" s="158">
        <f>SUM(H5:H33)</f>
        <v>1490374.0249999999</v>
      </c>
      <c r="I35" s="158">
        <v>67572.617809999996</v>
      </c>
      <c r="J35" s="158">
        <f>SUM(J5:J33)</f>
        <v>2441784</v>
      </c>
      <c r="K35" s="158">
        <f>SUM(K6:K33)</f>
        <v>612612.5149999999</v>
      </c>
      <c r="L35" s="158">
        <f>SUM(L6:L33)</f>
        <v>3001711.75</v>
      </c>
      <c r="M35" s="158">
        <f>SUM(M6:M33)</f>
        <v>19627124.574000001</v>
      </c>
      <c r="N35" s="158">
        <f>SUM(N6:N33)</f>
        <v>374276.55800000002</v>
      </c>
      <c r="O35" s="158">
        <f>SUM(O6:O33)</f>
        <v>64946931.413180001</v>
      </c>
    </row>
    <row r="37" spans="1:35" x14ac:dyDescent="0.2">
      <c r="A37" s="27" t="s">
        <v>123</v>
      </c>
      <c r="F37" s="145"/>
      <c r="L37" s="145"/>
    </row>
    <row r="38" spans="1:35" s="1" customFormat="1" x14ac:dyDescent="0.2">
      <c r="A38" s="147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8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5" x14ac:dyDescent="0.2"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8"/>
      <c r="N39" s="145"/>
      <c r="O39" s="14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2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8"/>
      <c r="N40" s="145"/>
      <c r="O40" s="14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2"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8"/>
      <c r="N41" s="145"/>
      <c r="O41" s="14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x14ac:dyDescent="0.2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8"/>
      <c r="N42" s="145"/>
      <c r="O42" s="14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x14ac:dyDescent="0.2"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8"/>
      <c r="N43" s="145"/>
      <c r="O43" s="14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x14ac:dyDescent="0.2"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8"/>
      <c r="N44" s="145"/>
      <c r="O44" s="14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2"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8"/>
      <c r="N45" s="145"/>
      <c r="O45" s="14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2"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8"/>
      <c r="N46" s="145"/>
      <c r="O46" s="14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2"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8"/>
      <c r="N47" s="145"/>
      <c r="O47" s="14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2"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8"/>
      <c r="N48" s="145"/>
      <c r="O48" s="14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2:35" x14ac:dyDescent="0.2"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8"/>
      <c r="N49" s="145"/>
      <c r="O49" s="14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x14ac:dyDescent="0.2"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8"/>
      <c r="N50" s="145"/>
      <c r="O50" s="14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x14ac:dyDescent="0.2"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8"/>
      <c r="N51" s="145"/>
      <c r="O51" s="14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x14ac:dyDescent="0.2"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8"/>
      <c r="N52" s="145"/>
      <c r="O52" s="14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x14ac:dyDescent="0.2"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8"/>
      <c r="N53" s="145"/>
      <c r="O53" s="14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x14ac:dyDescent="0.2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8"/>
      <c r="N54" s="145"/>
      <c r="O54" s="14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x14ac:dyDescent="0.2"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8"/>
      <c r="N55" s="145"/>
      <c r="O55" s="14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x14ac:dyDescent="0.2"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8"/>
      <c r="N56" s="145"/>
      <c r="O56" s="14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2:35" x14ac:dyDescent="0.2"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8"/>
      <c r="N57" s="145"/>
      <c r="O57" s="14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5" x14ac:dyDescent="0.2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8"/>
      <c r="N58" s="145"/>
      <c r="O58" s="14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2:35" x14ac:dyDescent="0.2"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8"/>
      <c r="N59" s="145"/>
      <c r="O59" s="14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5" x14ac:dyDescent="0.2"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8"/>
      <c r="N60" s="145"/>
      <c r="O60" s="14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5" x14ac:dyDescent="0.2"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8"/>
      <c r="N61" s="145"/>
      <c r="O61" s="14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5" x14ac:dyDescent="0.2"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8"/>
      <c r="N62" s="145"/>
      <c r="O62" s="14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:35" x14ac:dyDescent="0.2"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8"/>
      <c r="N63" s="145"/>
      <c r="O63" s="14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2:35" x14ac:dyDescent="0.2"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8"/>
      <c r="N64" s="145"/>
      <c r="O64" s="14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5" x14ac:dyDescent="0.2"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8"/>
      <c r="N65" s="145"/>
      <c r="O65" s="14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5" x14ac:dyDescent="0.2"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8"/>
      <c r="N66" s="145"/>
      <c r="O66" s="14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5" x14ac:dyDescent="0.2"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8"/>
      <c r="N67" s="145"/>
      <c r="O67" s="14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5" x14ac:dyDescent="0.2"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8"/>
      <c r="N68" s="145"/>
      <c r="O68" s="14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5" x14ac:dyDescent="0.2"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8"/>
      <c r="N69" s="145"/>
      <c r="O69" s="14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5" x14ac:dyDescent="0.2"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8"/>
      <c r="N70" s="145"/>
      <c r="O70" s="14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5" x14ac:dyDescent="0.2"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8"/>
      <c r="N71" s="145"/>
      <c r="O71" s="14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5" x14ac:dyDescent="0.2"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M72" s="148"/>
      <c r="N72" s="145"/>
      <c r="O72" s="14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</sheetData>
  <mergeCells count="2">
    <mergeCell ref="A1:O1"/>
    <mergeCell ref="A2:O2"/>
  </mergeCells>
  <phoneticPr fontId="2" type="noConversion"/>
  <pageMargins left="0.75" right="0.75" top="1" bottom="1" header="0.5" footer="0.5"/>
  <pageSetup paperSize="9" scale="64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2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O3" sqref="O3"/>
    </sheetView>
  </sheetViews>
  <sheetFormatPr defaultRowHeight="12.75" x14ac:dyDescent="0.2"/>
  <cols>
    <col min="1" max="1" width="40.28515625" style="16" bestFit="1" customWidth="1"/>
    <col min="2" max="7" width="12.140625" style="144" customWidth="1"/>
    <col min="8" max="8" width="13.7109375" style="144" customWidth="1"/>
    <col min="9" max="14" width="12.140625" style="144" customWidth="1"/>
    <col min="15" max="15" width="15" style="144" bestFit="1" customWidth="1"/>
  </cols>
  <sheetData>
    <row r="1" spans="1:16" s="149" customFormat="1" ht="20.100000000000001" customHeight="1" x14ac:dyDescent="0.25">
      <c r="A1" s="190" t="s">
        <v>42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16" s="149" customFormat="1" ht="20.100000000000001" customHeight="1" x14ac:dyDescent="0.25">
      <c r="A2" s="190" t="s">
        <v>119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16" s="1" customFormat="1" ht="22.5" customHeight="1" x14ac:dyDescent="0.2">
      <c r="A3" s="150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52" t="s">
        <v>45</v>
      </c>
    </row>
    <row r="4" spans="1:16" s="3" customFormat="1" ht="29.25" customHeight="1" x14ac:dyDescent="0.2">
      <c r="A4" s="164"/>
      <c r="B4" s="165" t="s">
        <v>0</v>
      </c>
      <c r="C4" s="165" t="s">
        <v>1</v>
      </c>
      <c r="D4" s="165" t="s">
        <v>2</v>
      </c>
      <c r="E4" s="165" t="s">
        <v>3</v>
      </c>
      <c r="F4" s="165" t="s">
        <v>4</v>
      </c>
      <c r="G4" s="165" t="s">
        <v>5</v>
      </c>
      <c r="H4" s="165" t="s">
        <v>6</v>
      </c>
      <c r="I4" s="165" t="s">
        <v>7</v>
      </c>
      <c r="J4" s="165" t="s">
        <v>8</v>
      </c>
      <c r="K4" s="165" t="s">
        <v>9</v>
      </c>
      <c r="L4" s="165" t="s">
        <v>10</v>
      </c>
      <c r="M4" s="165" t="s">
        <v>11</v>
      </c>
      <c r="N4" s="165" t="s">
        <v>12</v>
      </c>
      <c r="O4" s="155" t="s">
        <v>13</v>
      </c>
    </row>
    <row r="5" spans="1:16" s="3" customFormat="1" ht="17.25" customHeight="1" x14ac:dyDescent="0.2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8"/>
    </row>
    <row r="6" spans="1:16" s="3" customFormat="1" ht="17.25" customHeight="1" x14ac:dyDescent="0.2">
      <c r="A6" s="159" t="s">
        <v>14</v>
      </c>
      <c r="B6" s="157">
        <v>42</v>
      </c>
      <c r="C6" s="157">
        <v>1795.0740000000001</v>
      </c>
      <c r="D6" s="157">
        <v>15998.903</v>
      </c>
      <c r="E6" s="157">
        <v>377.113</v>
      </c>
      <c r="F6" s="157">
        <v>1E-3</v>
      </c>
      <c r="G6" s="157">
        <v>4559.2539999999999</v>
      </c>
      <c r="H6" s="157">
        <v>13806.816999999999</v>
      </c>
      <c r="I6" s="157">
        <v>0</v>
      </c>
      <c r="J6" s="157">
        <v>0</v>
      </c>
      <c r="K6" s="157">
        <v>4487.7870000000003</v>
      </c>
      <c r="L6" s="157">
        <v>5764.2340000000004</v>
      </c>
      <c r="M6" s="157">
        <v>0</v>
      </c>
      <c r="N6" s="157">
        <v>21.637</v>
      </c>
      <c r="O6" s="158">
        <v>46852.82</v>
      </c>
      <c r="P6" s="4"/>
    </row>
    <row r="7" spans="1:16" s="3" customFormat="1" ht="17.25" customHeight="1" x14ac:dyDescent="0.2">
      <c r="A7" s="159" t="s">
        <v>15</v>
      </c>
      <c r="B7" s="157">
        <v>0</v>
      </c>
      <c r="C7" s="157">
        <v>110628.952</v>
      </c>
      <c r="D7" s="157">
        <v>269170</v>
      </c>
      <c r="E7" s="157">
        <v>15710</v>
      </c>
      <c r="F7" s="157">
        <v>0</v>
      </c>
      <c r="G7" s="157">
        <v>0</v>
      </c>
      <c r="H7" s="157">
        <v>17727.099999999999</v>
      </c>
      <c r="I7" s="157">
        <v>0</v>
      </c>
      <c r="J7" s="157">
        <v>53250</v>
      </c>
      <c r="K7" s="157">
        <v>0</v>
      </c>
      <c r="L7" s="157">
        <v>74676.437000000005</v>
      </c>
      <c r="M7" s="157">
        <v>0</v>
      </c>
      <c r="N7" s="157">
        <v>22342.5</v>
      </c>
      <c r="O7" s="158">
        <v>563504.98899999994</v>
      </c>
      <c r="P7" s="4"/>
    </row>
    <row r="8" spans="1:16" s="3" customFormat="1" ht="17.25" customHeight="1" x14ac:dyDescent="0.2">
      <c r="A8" s="159" t="s">
        <v>16</v>
      </c>
      <c r="B8" s="157">
        <v>0</v>
      </c>
      <c r="C8" s="157">
        <v>361924.022</v>
      </c>
      <c r="D8" s="157">
        <v>914006</v>
      </c>
      <c r="E8" s="157">
        <v>0</v>
      </c>
      <c r="F8" s="157">
        <v>0</v>
      </c>
      <c r="G8" s="157">
        <v>73000</v>
      </c>
      <c r="H8" s="157">
        <v>18184.216</v>
      </c>
      <c r="I8" s="157">
        <v>0</v>
      </c>
      <c r="J8" s="157">
        <v>301750</v>
      </c>
      <c r="K8" s="157">
        <v>0</v>
      </c>
      <c r="L8" s="157">
        <v>64000</v>
      </c>
      <c r="M8" s="157">
        <v>147582.948</v>
      </c>
      <c r="N8" s="157">
        <v>17816.744999999999</v>
      </c>
      <c r="O8" s="158">
        <v>1898263.9310000001</v>
      </c>
      <c r="P8" s="4"/>
    </row>
    <row r="9" spans="1:16" s="3" customFormat="1" ht="17.25" customHeight="1" x14ac:dyDescent="0.2">
      <c r="A9" s="159" t="s">
        <v>17</v>
      </c>
      <c r="B9" s="157">
        <v>3697</v>
      </c>
      <c r="C9" s="157">
        <v>14845.938</v>
      </c>
      <c r="D9" s="157">
        <v>115051.158</v>
      </c>
      <c r="E9" s="157">
        <v>1510.19</v>
      </c>
      <c r="F9" s="157">
        <v>278.16800000000001</v>
      </c>
      <c r="G9" s="157">
        <v>4790.67</v>
      </c>
      <c r="H9" s="157">
        <v>8330.6139999999996</v>
      </c>
      <c r="I9" s="157">
        <v>535.55799999999999</v>
      </c>
      <c r="J9" s="157">
        <v>6616.616</v>
      </c>
      <c r="K9" s="157">
        <v>0</v>
      </c>
      <c r="L9" s="157">
        <v>18192.454000000002</v>
      </c>
      <c r="M9" s="157">
        <v>889.49099999999999</v>
      </c>
      <c r="N9" s="157">
        <v>6215.1040000000003</v>
      </c>
      <c r="O9" s="158">
        <v>180952.96100000001</v>
      </c>
      <c r="P9" s="4"/>
    </row>
    <row r="10" spans="1:16" s="3" customFormat="1" ht="17.25" customHeight="1" x14ac:dyDescent="0.2">
      <c r="A10" s="159" t="s">
        <v>18</v>
      </c>
      <c r="B10" s="157">
        <v>0</v>
      </c>
      <c r="C10" s="157">
        <v>74299.612999999998</v>
      </c>
      <c r="D10" s="157">
        <v>4804709.9780000001</v>
      </c>
      <c r="E10" s="157">
        <v>0</v>
      </c>
      <c r="F10" s="157">
        <v>0</v>
      </c>
      <c r="G10" s="157">
        <v>29789.024000000001</v>
      </c>
      <c r="H10" s="157">
        <v>400</v>
      </c>
      <c r="I10" s="157">
        <v>0</v>
      </c>
      <c r="J10" s="157">
        <v>0</v>
      </c>
      <c r="K10" s="157">
        <v>0</v>
      </c>
      <c r="L10" s="157">
        <v>1405.095</v>
      </c>
      <c r="M10" s="157">
        <v>2877696.0550000002</v>
      </c>
      <c r="N10" s="157">
        <v>0</v>
      </c>
      <c r="O10" s="158">
        <v>7788299.7649999997</v>
      </c>
      <c r="P10" s="4"/>
    </row>
    <row r="11" spans="1:16" s="3" customFormat="1" ht="17.25" customHeight="1" x14ac:dyDescent="0.2">
      <c r="A11" s="159" t="s">
        <v>19</v>
      </c>
      <c r="B11" s="157">
        <v>194072</v>
      </c>
      <c r="C11" s="157">
        <v>3527894.3939999999</v>
      </c>
      <c r="D11" s="157">
        <v>19502.34</v>
      </c>
      <c r="E11" s="157">
        <v>0</v>
      </c>
      <c r="F11" s="157">
        <v>22408.452000000001</v>
      </c>
      <c r="G11" s="157">
        <v>82162.191000000006</v>
      </c>
      <c r="H11" s="157">
        <v>613297.12300000002</v>
      </c>
      <c r="I11" s="157">
        <v>1129.951</v>
      </c>
      <c r="J11" s="157">
        <v>98781.743000000002</v>
      </c>
      <c r="K11" s="157">
        <v>42431.7</v>
      </c>
      <c r="L11" s="157">
        <v>1206047.264</v>
      </c>
      <c r="M11" s="157">
        <v>4841570.807</v>
      </c>
      <c r="N11" s="157">
        <v>23685.366000000002</v>
      </c>
      <c r="O11" s="158">
        <v>10672983.331</v>
      </c>
      <c r="P11" s="4"/>
    </row>
    <row r="12" spans="1:16" s="3" customFormat="1" ht="17.25" customHeight="1" x14ac:dyDescent="0.2">
      <c r="A12" s="159" t="s">
        <v>20</v>
      </c>
      <c r="B12" s="157">
        <v>57321</v>
      </c>
      <c r="C12" s="157">
        <v>410216.83</v>
      </c>
      <c r="D12" s="157">
        <v>90718.03</v>
      </c>
      <c r="E12" s="157">
        <v>0</v>
      </c>
      <c r="F12" s="157">
        <v>0</v>
      </c>
      <c r="G12" s="157">
        <v>46742.51</v>
      </c>
      <c r="H12" s="157">
        <v>59318.720000000001</v>
      </c>
      <c r="I12" s="157">
        <v>0.01</v>
      </c>
      <c r="J12" s="157">
        <v>3055</v>
      </c>
      <c r="K12" s="157">
        <v>0</v>
      </c>
      <c r="L12" s="157">
        <v>34244.781999999999</v>
      </c>
      <c r="M12" s="157">
        <v>381193.777</v>
      </c>
      <c r="N12" s="157">
        <v>7291.1589999999997</v>
      </c>
      <c r="O12" s="158">
        <v>1090101.818</v>
      </c>
      <c r="P12" s="4"/>
    </row>
    <row r="13" spans="1:16" s="3" customFormat="1" ht="17.25" customHeight="1" x14ac:dyDescent="0.2">
      <c r="A13" s="159" t="s">
        <v>21</v>
      </c>
      <c r="B13" s="157">
        <v>182290</v>
      </c>
      <c r="C13" s="157">
        <v>72243.463000000003</v>
      </c>
      <c r="D13" s="157">
        <v>582328.41099999996</v>
      </c>
      <c r="E13" s="157">
        <v>0</v>
      </c>
      <c r="F13" s="157">
        <v>0</v>
      </c>
      <c r="G13" s="157">
        <v>53970.178</v>
      </c>
      <c r="H13" s="157">
        <v>93764.269</v>
      </c>
      <c r="I13" s="157">
        <v>0</v>
      </c>
      <c r="J13" s="157">
        <v>0</v>
      </c>
      <c r="K13" s="157">
        <v>9739.5349999999999</v>
      </c>
      <c r="L13" s="157">
        <v>2041.682</v>
      </c>
      <c r="M13" s="157">
        <v>0</v>
      </c>
      <c r="N13" s="157">
        <v>0</v>
      </c>
      <c r="O13" s="158">
        <v>996377.53799999994</v>
      </c>
      <c r="P13" s="4"/>
    </row>
    <row r="14" spans="1:16" s="3" customFormat="1" ht="17.25" customHeight="1" x14ac:dyDescent="0.2">
      <c r="A14" s="159" t="s">
        <v>22</v>
      </c>
      <c r="B14" s="157">
        <v>0</v>
      </c>
      <c r="C14" s="157">
        <v>1641160.3810000001</v>
      </c>
      <c r="D14" s="157">
        <v>200844.62700000001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24560.681</v>
      </c>
      <c r="L14" s="157">
        <v>223475.85200000001</v>
      </c>
      <c r="M14" s="157">
        <v>0</v>
      </c>
      <c r="N14" s="157">
        <v>6494.7049999999999</v>
      </c>
      <c r="O14" s="158">
        <v>2096536.246</v>
      </c>
      <c r="P14" s="4"/>
    </row>
    <row r="15" spans="1:16" s="3" customFormat="1" ht="17.25" customHeight="1" x14ac:dyDescent="0.2">
      <c r="A15" s="159" t="s">
        <v>23</v>
      </c>
      <c r="B15" s="157">
        <v>397812</v>
      </c>
      <c r="C15" s="157">
        <v>3096143.6839999999</v>
      </c>
      <c r="D15" s="157">
        <v>0</v>
      </c>
      <c r="E15" s="157">
        <v>0</v>
      </c>
      <c r="F15" s="157">
        <v>999.04</v>
      </c>
      <c r="G15" s="157">
        <v>48802.64</v>
      </c>
      <c r="H15" s="157">
        <v>66816.801999999996</v>
      </c>
      <c r="I15" s="157">
        <v>300</v>
      </c>
      <c r="J15" s="157">
        <v>839514.7</v>
      </c>
      <c r="K15" s="157">
        <v>0</v>
      </c>
      <c r="L15" s="157">
        <v>64148.252</v>
      </c>
      <c r="M15" s="157">
        <v>7263898.9440000001</v>
      </c>
      <c r="N15" s="157">
        <v>58020.315999999999</v>
      </c>
      <c r="O15" s="158">
        <v>11836456.378</v>
      </c>
      <c r="P15" s="4"/>
    </row>
    <row r="16" spans="1:16" s="3" customFormat="1" ht="17.25" customHeight="1" x14ac:dyDescent="0.2">
      <c r="A16" s="159" t="s">
        <v>24</v>
      </c>
      <c r="B16" s="157">
        <v>0</v>
      </c>
      <c r="C16" s="157">
        <v>18336.838</v>
      </c>
      <c r="D16" s="157">
        <v>308602.74</v>
      </c>
      <c r="E16" s="157">
        <v>0</v>
      </c>
      <c r="F16" s="157">
        <v>0</v>
      </c>
      <c r="G16" s="157">
        <v>45995.343999999997</v>
      </c>
      <c r="H16" s="157">
        <v>22000</v>
      </c>
      <c r="I16" s="157">
        <v>0</v>
      </c>
      <c r="J16" s="157">
        <v>0</v>
      </c>
      <c r="K16" s="157">
        <v>0</v>
      </c>
      <c r="L16" s="157">
        <v>15000</v>
      </c>
      <c r="M16" s="157">
        <v>17097.18</v>
      </c>
      <c r="N16" s="157">
        <v>68409.236000000004</v>
      </c>
      <c r="O16" s="158">
        <v>495441.33799999999</v>
      </c>
      <c r="P16" s="4"/>
    </row>
    <row r="17" spans="1:16" s="3" customFormat="1" ht="17.25" customHeight="1" x14ac:dyDescent="0.2">
      <c r="A17" s="159" t="s">
        <v>25</v>
      </c>
      <c r="B17" s="157">
        <v>160027</v>
      </c>
      <c r="C17" s="157">
        <v>1967128.487</v>
      </c>
      <c r="D17" s="157">
        <v>213907.606</v>
      </c>
      <c r="E17" s="157">
        <v>3035</v>
      </c>
      <c r="F17" s="157">
        <v>12198.066999999999</v>
      </c>
      <c r="G17" s="157">
        <v>83919.191000000006</v>
      </c>
      <c r="H17" s="157">
        <v>86019.827000000005</v>
      </c>
      <c r="I17" s="157">
        <v>27599.328000000001</v>
      </c>
      <c r="J17" s="157">
        <v>254624.641</v>
      </c>
      <c r="K17" s="157">
        <v>129543.546</v>
      </c>
      <c r="L17" s="157">
        <v>330235.701</v>
      </c>
      <c r="M17" s="157">
        <v>1421113.66</v>
      </c>
      <c r="N17" s="157">
        <v>45936.423999999999</v>
      </c>
      <c r="O17" s="158">
        <v>4735288.4780000001</v>
      </c>
      <c r="P17" s="4"/>
    </row>
    <row r="18" spans="1:16" s="3" customFormat="1" ht="17.25" customHeight="1" x14ac:dyDescent="0.2">
      <c r="A18" s="159" t="s">
        <v>26</v>
      </c>
      <c r="B18" s="157">
        <v>0</v>
      </c>
      <c r="C18" s="157">
        <v>411434.359</v>
      </c>
      <c r="D18" s="157">
        <v>37952.06</v>
      </c>
      <c r="E18" s="157">
        <v>0</v>
      </c>
      <c r="F18" s="157">
        <v>0</v>
      </c>
      <c r="G18" s="157">
        <v>0</v>
      </c>
      <c r="H18" s="157">
        <v>34242.553999999996</v>
      </c>
      <c r="I18" s="157">
        <v>1169.306</v>
      </c>
      <c r="J18" s="157">
        <v>0</v>
      </c>
      <c r="K18" s="157">
        <v>0</v>
      </c>
      <c r="L18" s="157">
        <v>0</v>
      </c>
      <c r="M18" s="157">
        <v>22914.171999999999</v>
      </c>
      <c r="N18" s="157">
        <v>0</v>
      </c>
      <c r="O18" s="158">
        <v>507712.451</v>
      </c>
      <c r="P18" s="4"/>
    </row>
    <row r="19" spans="1:16" s="3" customFormat="1" ht="17.25" customHeight="1" x14ac:dyDescent="0.2">
      <c r="A19" s="159" t="s">
        <v>27</v>
      </c>
      <c r="B19" s="157">
        <v>15382</v>
      </c>
      <c r="C19" s="157">
        <v>113048.724</v>
      </c>
      <c r="D19" s="157">
        <v>39138.300999999999</v>
      </c>
      <c r="E19" s="157">
        <v>3270.2260000000001</v>
      </c>
      <c r="F19" s="157">
        <v>2677.0160000000001</v>
      </c>
      <c r="G19" s="157">
        <v>23362.19</v>
      </c>
      <c r="H19" s="157">
        <v>44012.658000000003</v>
      </c>
      <c r="I19" s="157">
        <v>623.02300000000002</v>
      </c>
      <c r="J19" s="157">
        <v>37459.305</v>
      </c>
      <c r="K19" s="157">
        <v>11650.721</v>
      </c>
      <c r="L19" s="157">
        <v>33939.578000000001</v>
      </c>
      <c r="M19" s="157">
        <v>99306.763999999996</v>
      </c>
      <c r="N19" s="157">
        <v>2578.808</v>
      </c>
      <c r="O19" s="158">
        <v>426449.31400000001</v>
      </c>
      <c r="P19" s="4"/>
    </row>
    <row r="20" spans="1:16" s="3" customFormat="1" ht="17.25" customHeight="1" x14ac:dyDescent="0.2">
      <c r="A20" s="159" t="s">
        <v>28</v>
      </c>
      <c r="B20" s="157">
        <v>7427</v>
      </c>
      <c r="C20" s="157">
        <v>12027.177</v>
      </c>
      <c r="D20" s="157">
        <v>0</v>
      </c>
      <c r="E20" s="157">
        <v>0</v>
      </c>
      <c r="F20" s="157">
        <v>34.377000000000002</v>
      </c>
      <c r="G20" s="157">
        <v>0</v>
      </c>
      <c r="H20" s="157">
        <v>34949.428999999996</v>
      </c>
      <c r="I20" s="157">
        <v>0</v>
      </c>
      <c r="J20" s="157">
        <v>0</v>
      </c>
      <c r="K20" s="157">
        <v>0</v>
      </c>
      <c r="L20" s="157">
        <v>1219.5540000000001</v>
      </c>
      <c r="M20" s="157">
        <v>519606.516</v>
      </c>
      <c r="N20" s="157">
        <v>325.60000000000002</v>
      </c>
      <c r="O20" s="158">
        <v>575589.65300000005</v>
      </c>
      <c r="P20" s="4"/>
    </row>
    <row r="21" spans="1:16" s="3" customFormat="1" ht="17.25" customHeight="1" x14ac:dyDescent="0.2">
      <c r="A21" s="159" t="s">
        <v>29</v>
      </c>
      <c r="B21" s="157">
        <v>0</v>
      </c>
      <c r="C21" s="157">
        <v>22155</v>
      </c>
      <c r="D21" s="157">
        <v>0</v>
      </c>
      <c r="E21" s="157">
        <v>0</v>
      </c>
      <c r="F21" s="157">
        <v>0</v>
      </c>
      <c r="G21" s="157">
        <v>0</v>
      </c>
      <c r="H21" s="157">
        <v>797.73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8">
        <v>22952.73</v>
      </c>
      <c r="P21" s="4"/>
    </row>
    <row r="22" spans="1:16" s="3" customFormat="1" ht="17.25" customHeight="1" x14ac:dyDescent="0.2">
      <c r="A22" s="159" t="s">
        <v>30</v>
      </c>
      <c r="B22" s="157">
        <v>0</v>
      </c>
      <c r="C22" s="157">
        <v>11126.107</v>
      </c>
      <c r="D22" s="157">
        <v>0</v>
      </c>
      <c r="E22" s="157">
        <v>0</v>
      </c>
      <c r="F22" s="157">
        <v>0</v>
      </c>
      <c r="G22" s="157">
        <v>34080.663</v>
      </c>
      <c r="H22" s="157">
        <v>1578.4469999999999</v>
      </c>
      <c r="I22" s="157">
        <v>0</v>
      </c>
      <c r="J22" s="157">
        <v>0</v>
      </c>
      <c r="K22" s="157">
        <v>0</v>
      </c>
      <c r="L22" s="157">
        <v>0</v>
      </c>
      <c r="M22" s="157">
        <v>2025.83</v>
      </c>
      <c r="N22" s="157">
        <v>1252.2550000000001</v>
      </c>
      <c r="O22" s="158">
        <v>50063.302000000003</v>
      </c>
      <c r="P22" s="4"/>
    </row>
    <row r="23" spans="1:16" s="3" customFormat="1" ht="17.25" customHeight="1" x14ac:dyDescent="0.2">
      <c r="A23" s="159" t="s">
        <v>31</v>
      </c>
      <c r="B23" s="157">
        <v>0</v>
      </c>
      <c r="C23" s="157">
        <v>16046.597</v>
      </c>
      <c r="D23" s="157">
        <v>0</v>
      </c>
      <c r="E23" s="157">
        <v>0</v>
      </c>
      <c r="F23" s="157">
        <v>0</v>
      </c>
      <c r="G23" s="157">
        <v>35974.339999999997</v>
      </c>
      <c r="H23" s="157">
        <v>95288.851999999999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0</v>
      </c>
      <c r="O23" s="158">
        <v>147309.78899999999</v>
      </c>
      <c r="P23" s="4"/>
    </row>
    <row r="24" spans="1:16" s="3" customFormat="1" ht="17.25" customHeight="1" x14ac:dyDescent="0.2">
      <c r="A24" s="159" t="s">
        <v>32</v>
      </c>
      <c r="B24" s="157">
        <v>964</v>
      </c>
      <c r="C24" s="157">
        <v>8.65</v>
      </c>
      <c r="D24" s="157">
        <v>49.1</v>
      </c>
      <c r="E24" s="157">
        <v>37.456000000000003</v>
      </c>
      <c r="F24" s="157">
        <v>92.700999999999993</v>
      </c>
      <c r="G24" s="157">
        <v>0</v>
      </c>
      <c r="H24" s="157">
        <v>34.799999999999997</v>
      </c>
      <c r="I24" s="157">
        <v>1.9710000000000001</v>
      </c>
      <c r="J24" s="157">
        <v>99.744</v>
      </c>
      <c r="K24" s="157">
        <v>0</v>
      </c>
      <c r="L24" s="157">
        <v>234.643</v>
      </c>
      <c r="M24" s="157">
        <v>2282.875</v>
      </c>
      <c r="N24" s="157">
        <v>16499.43</v>
      </c>
      <c r="O24" s="158">
        <v>20305.37</v>
      </c>
      <c r="P24" s="4"/>
    </row>
    <row r="25" spans="1:16" s="3" customFormat="1" ht="17.25" customHeight="1" x14ac:dyDescent="0.2">
      <c r="A25" s="159" t="s">
        <v>33</v>
      </c>
      <c r="B25" s="157">
        <v>189042</v>
      </c>
      <c r="C25" s="157">
        <v>117615.76700000001</v>
      </c>
      <c r="D25" s="157">
        <v>65331.266000000003</v>
      </c>
      <c r="E25" s="157">
        <v>757.36500000000001</v>
      </c>
      <c r="F25" s="157">
        <v>1786.0160000000001</v>
      </c>
      <c r="G25" s="157">
        <v>73729.932000000001</v>
      </c>
      <c r="H25" s="157">
        <v>2011.095</v>
      </c>
      <c r="I25" s="157">
        <v>2686.5160000000001</v>
      </c>
      <c r="J25" s="157">
        <v>32770.411</v>
      </c>
      <c r="K25" s="157">
        <v>16791.36</v>
      </c>
      <c r="L25" s="157">
        <v>269924.58</v>
      </c>
      <c r="M25" s="157">
        <v>255392.185</v>
      </c>
      <c r="N25" s="157">
        <v>2</v>
      </c>
      <c r="O25" s="158">
        <v>1027840.493</v>
      </c>
      <c r="P25" s="4"/>
    </row>
    <row r="26" spans="1:16" s="3" customFormat="1" ht="17.25" customHeight="1" x14ac:dyDescent="0.2">
      <c r="A26" s="159" t="s">
        <v>34</v>
      </c>
      <c r="B26" s="157">
        <v>49765</v>
      </c>
      <c r="C26" s="157">
        <v>3820527.2740000002</v>
      </c>
      <c r="D26" s="157">
        <v>44735.771999999997</v>
      </c>
      <c r="E26" s="157">
        <v>34003.661</v>
      </c>
      <c r="F26" s="157">
        <v>20000</v>
      </c>
      <c r="G26" s="157">
        <v>7346.1639999999998</v>
      </c>
      <c r="H26" s="157">
        <v>15485.101000000001</v>
      </c>
      <c r="I26" s="157">
        <v>23331</v>
      </c>
      <c r="J26" s="157">
        <v>562180</v>
      </c>
      <c r="K26" s="157">
        <v>18000</v>
      </c>
      <c r="L26" s="157">
        <v>7800</v>
      </c>
      <c r="M26" s="157">
        <v>1055392.1769999999</v>
      </c>
      <c r="N26" s="157">
        <v>80000</v>
      </c>
      <c r="O26" s="158">
        <v>5738566.1490000002</v>
      </c>
      <c r="P26" s="4"/>
    </row>
    <row r="27" spans="1:16" s="3" customFormat="1" ht="17.25" customHeight="1" x14ac:dyDescent="0.2">
      <c r="A27" s="159" t="s">
        <v>35</v>
      </c>
      <c r="B27" s="157">
        <v>131423</v>
      </c>
      <c r="C27" s="157">
        <v>6828.049</v>
      </c>
      <c r="D27" s="157">
        <v>68741.432000000001</v>
      </c>
      <c r="E27" s="157">
        <v>0</v>
      </c>
      <c r="F27" s="157">
        <v>21395.038</v>
      </c>
      <c r="G27" s="157">
        <v>94994.739000000001</v>
      </c>
      <c r="H27" s="157">
        <v>0</v>
      </c>
      <c r="I27" s="157">
        <v>0</v>
      </c>
      <c r="J27" s="157">
        <v>10000</v>
      </c>
      <c r="K27" s="157">
        <v>244035.84099999999</v>
      </c>
      <c r="L27" s="157">
        <v>5000</v>
      </c>
      <c r="M27" s="157">
        <v>20552.329000000002</v>
      </c>
      <c r="N27" s="157">
        <v>0</v>
      </c>
      <c r="O27" s="158">
        <v>602970.42799999996</v>
      </c>
      <c r="P27" s="4"/>
    </row>
    <row r="28" spans="1:16" s="3" customFormat="1" ht="17.25" customHeight="1" x14ac:dyDescent="0.2">
      <c r="A28" s="159" t="s">
        <v>36</v>
      </c>
      <c r="B28" s="157">
        <v>19392</v>
      </c>
      <c r="C28" s="157">
        <v>52269.741000000002</v>
      </c>
      <c r="D28" s="157">
        <v>11062.244000000001</v>
      </c>
      <c r="E28" s="157">
        <v>0</v>
      </c>
      <c r="F28" s="157">
        <v>561.31200000000001</v>
      </c>
      <c r="G28" s="157">
        <v>4079.5340000000001</v>
      </c>
      <c r="H28" s="157">
        <v>2488.2629999999999</v>
      </c>
      <c r="I28" s="157">
        <v>1388.575</v>
      </c>
      <c r="J28" s="157">
        <v>7461.51</v>
      </c>
      <c r="K28" s="157">
        <v>0</v>
      </c>
      <c r="L28" s="157">
        <v>7435.0739999999996</v>
      </c>
      <c r="M28" s="157">
        <v>4150.5389999999998</v>
      </c>
      <c r="N28" s="157">
        <v>0</v>
      </c>
      <c r="O28" s="158">
        <v>110288.792</v>
      </c>
      <c r="P28" s="4"/>
    </row>
    <row r="29" spans="1:16" s="3" customFormat="1" ht="17.25" customHeight="1" x14ac:dyDescent="0.2">
      <c r="A29" s="159" t="s">
        <v>37</v>
      </c>
      <c r="B29" s="157">
        <v>806</v>
      </c>
      <c r="C29" s="157">
        <v>13111.9</v>
      </c>
      <c r="D29" s="157">
        <v>2201043.7209999999</v>
      </c>
      <c r="E29" s="157">
        <v>0</v>
      </c>
      <c r="F29" s="157">
        <v>0</v>
      </c>
      <c r="G29" s="157">
        <v>11563.901</v>
      </c>
      <c r="H29" s="157">
        <v>-380.779</v>
      </c>
      <c r="I29" s="157">
        <v>0</v>
      </c>
      <c r="J29" s="157">
        <v>0</v>
      </c>
      <c r="K29" s="157">
        <v>0</v>
      </c>
      <c r="L29" s="157">
        <v>39821.631999999998</v>
      </c>
      <c r="M29" s="157">
        <v>124425.258</v>
      </c>
      <c r="N29" s="157">
        <v>0</v>
      </c>
      <c r="O29" s="158">
        <v>2390391.6329999999</v>
      </c>
      <c r="P29" s="4"/>
    </row>
    <row r="30" spans="1:16" s="3" customFormat="1" ht="17.25" customHeight="1" x14ac:dyDescent="0.2">
      <c r="A30" s="159" t="s">
        <v>38</v>
      </c>
      <c r="B30" s="157">
        <v>0</v>
      </c>
      <c r="C30" s="157">
        <v>3250</v>
      </c>
      <c r="D30" s="157">
        <v>14055.86</v>
      </c>
      <c r="E30" s="157">
        <v>50</v>
      </c>
      <c r="F30" s="157">
        <v>19.481000000000002</v>
      </c>
      <c r="G30" s="157">
        <v>58.448999999999998</v>
      </c>
      <c r="H30" s="157">
        <v>0</v>
      </c>
      <c r="I30" s="157">
        <v>0</v>
      </c>
      <c r="J30" s="157">
        <v>0</v>
      </c>
      <c r="K30" s="157">
        <v>77.817999999999998</v>
      </c>
      <c r="L30" s="157">
        <v>3387.9650000000001</v>
      </c>
      <c r="M30" s="157">
        <v>31152.163</v>
      </c>
      <c r="N30" s="157">
        <v>1386.875</v>
      </c>
      <c r="O30" s="158">
        <v>53438.610999999997</v>
      </c>
      <c r="P30" s="4"/>
    </row>
    <row r="31" spans="1:16" s="3" customFormat="1" ht="17.25" customHeight="1" x14ac:dyDescent="0.2">
      <c r="A31" s="159" t="s">
        <v>39</v>
      </c>
      <c r="B31" s="157">
        <v>0</v>
      </c>
      <c r="C31" s="157">
        <v>0</v>
      </c>
      <c r="D31" s="157">
        <v>0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>
        <v>0</v>
      </c>
      <c r="N31" s="157">
        <v>0</v>
      </c>
      <c r="O31" s="158">
        <v>0</v>
      </c>
      <c r="P31" s="4"/>
    </row>
    <row r="32" spans="1:16" s="3" customFormat="1" ht="17.25" customHeight="1" x14ac:dyDescent="0.2">
      <c r="A32" s="159" t="s">
        <v>40</v>
      </c>
      <c r="B32" s="157">
        <v>9954</v>
      </c>
      <c r="C32" s="157">
        <v>73691.876000000004</v>
      </c>
      <c r="D32" s="157">
        <v>79400.816000000006</v>
      </c>
      <c r="E32" s="157">
        <v>5682.2790000000005</v>
      </c>
      <c r="F32" s="157">
        <v>2.5</v>
      </c>
      <c r="G32" s="157">
        <v>25645.171999999999</v>
      </c>
      <c r="H32" s="157">
        <v>3089.3580000000002</v>
      </c>
      <c r="I32" s="157">
        <v>2924.6619999999998</v>
      </c>
      <c r="J32" s="157">
        <v>13590.251</v>
      </c>
      <c r="K32" s="157">
        <v>8889.4480000000003</v>
      </c>
      <c r="L32" s="157">
        <v>31963.279999999999</v>
      </c>
      <c r="M32" s="157">
        <v>0</v>
      </c>
      <c r="N32" s="157">
        <v>5555.1639999999998</v>
      </c>
      <c r="O32" s="158">
        <v>260388.80600000001</v>
      </c>
      <c r="P32" s="4"/>
    </row>
    <row r="33" spans="1:35" s="3" customFormat="1" ht="17.25" customHeight="1" x14ac:dyDescent="0.2">
      <c r="A33" s="159" t="s">
        <v>41</v>
      </c>
      <c r="B33" s="157">
        <v>0</v>
      </c>
      <c r="C33" s="157">
        <v>0</v>
      </c>
      <c r="D33" s="157">
        <v>0</v>
      </c>
      <c r="E33" s="157">
        <v>0</v>
      </c>
      <c r="F33" s="157">
        <v>4181.3050000000003</v>
      </c>
      <c r="G33" s="157">
        <v>1965.527</v>
      </c>
      <c r="H33" s="157">
        <v>13096.475</v>
      </c>
      <c r="I33" s="157">
        <v>0</v>
      </c>
      <c r="J33" s="157">
        <v>100583.861</v>
      </c>
      <c r="K33" s="157">
        <v>0</v>
      </c>
      <c r="L33" s="157">
        <v>0</v>
      </c>
      <c r="M33" s="157">
        <v>201007.451</v>
      </c>
      <c r="N33" s="157">
        <v>0</v>
      </c>
      <c r="O33" s="158">
        <v>320834.61900000001</v>
      </c>
      <c r="P33" s="4"/>
    </row>
    <row r="34" spans="1:35" s="3" customFormat="1" ht="17.25" customHeight="1" x14ac:dyDescent="0.2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8">
        <v>0</v>
      </c>
    </row>
    <row r="35" spans="1:35" s="3" customFormat="1" ht="17.25" customHeight="1" x14ac:dyDescent="0.2">
      <c r="A35" s="161" t="s">
        <v>13</v>
      </c>
      <c r="B35" s="158">
        <v>1419416</v>
      </c>
      <c r="C35" s="158">
        <v>15969758.897</v>
      </c>
      <c r="D35" s="158">
        <v>10096350.365</v>
      </c>
      <c r="E35" s="158">
        <v>64433.29</v>
      </c>
      <c r="F35" s="158">
        <v>86633.474000000017</v>
      </c>
      <c r="G35" s="158">
        <v>786531.61300000001</v>
      </c>
      <c r="H35" s="158">
        <v>1246359.4709999999</v>
      </c>
      <c r="I35" s="158">
        <v>61689.9</v>
      </c>
      <c r="J35" s="158">
        <v>2321737.7820000001</v>
      </c>
      <c r="K35" s="158">
        <v>510208.43699999998</v>
      </c>
      <c r="L35" s="158">
        <v>2439958.0589999999</v>
      </c>
      <c r="M35" s="158">
        <v>19289251.120999996</v>
      </c>
      <c r="N35" s="158">
        <v>363833.32400000002</v>
      </c>
      <c r="O35" s="158">
        <v>54656161.732999995</v>
      </c>
    </row>
    <row r="37" spans="1:35" x14ac:dyDescent="0.2">
      <c r="A37" s="162" t="s">
        <v>124</v>
      </c>
    </row>
    <row r="38" spans="1:35" x14ac:dyDescent="0.2"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2"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2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2"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x14ac:dyDescent="0.2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x14ac:dyDescent="0.2"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x14ac:dyDescent="0.2"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2"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2"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2"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2"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2:35" x14ac:dyDescent="0.2"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x14ac:dyDescent="0.2"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x14ac:dyDescent="0.2"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x14ac:dyDescent="0.2"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x14ac:dyDescent="0.2"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x14ac:dyDescent="0.2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x14ac:dyDescent="0.2"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x14ac:dyDescent="0.2"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2:35" x14ac:dyDescent="0.2"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5" x14ac:dyDescent="0.2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2:35" x14ac:dyDescent="0.2"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5" x14ac:dyDescent="0.2"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5" x14ac:dyDescent="0.2"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5" x14ac:dyDescent="0.2"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:35" x14ac:dyDescent="0.2"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2:35" x14ac:dyDescent="0.2"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5" x14ac:dyDescent="0.2"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5" x14ac:dyDescent="0.2"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5" x14ac:dyDescent="0.2"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5" x14ac:dyDescent="0.2"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5" x14ac:dyDescent="0.2"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5" x14ac:dyDescent="0.2"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5" x14ac:dyDescent="0.2"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5" x14ac:dyDescent="0.2"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</sheetData>
  <mergeCells count="2">
    <mergeCell ref="A1:O1"/>
    <mergeCell ref="A2:O2"/>
  </mergeCells>
  <printOptions horizontalCentered="1"/>
  <pageMargins left="0" right="0" top="0" bottom="0.5" header="0.25" footer="0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>
      <pane xSplit="1" ySplit="4" topLeftCell="C23" activePane="bottomRight" state="frozen"/>
      <selection activeCell="E13" sqref="E13"/>
      <selection pane="topRight" activeCell="E13" sqref="E13"/>
      <selection pane="bottomLeft" activeCell="E13" sqref="E13"/>
      <selection pane="bottomRight" activeCell="F40" sqref="F40"/>
    </sheetView>
  </sheetViews>
  <sheetFormatPr defaultRowHeight="12.75" x14ac:dyDescent="0.2"/>
  <cols>
    <col min="1" max="1" width="36.7109375" style="16" customWidth="1"/>
    <col min="2" max="2" width="22.42578125" style="16" hidden="1" customWidth="1"/>
    <col min="3" max="8" width="15.7109375" style="16" customWidth="1"/>
    <col min="9" max="9" width="18.140625" style="16" customWidth="1"/>
    <col min="10" max="13" width="15.7109375" style="16" customWidth="1"/>
  </cols>
  <sheetData>
    <row r="1" spans="1:14" s="29" customFormat="1" ht="14.1" customHeight="1" x14ac:dyDescent="0.25">
      <c r="A1" s="182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/>
    </row>
    <row r="2" spans="1:14" s="29" customFormat="1" ht="14.1" customHeight="1" x14ac:dyDescent="0.25">
      <c r="A2" s="182" t="s">
        <v>143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/>
    </row>
    <row r="3" spans="1:14" ht="14.1" customHeight="1" x14ac:dyDescent="0.2">
      <c r="A3" s="183" t="s">
        <v>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4" ht="51" customHeight="1" x14ac:dyDescent="0.2">
      <c r="A4" s="17"/>
      <c r="B4" s="17"/>
      <c r="C4" s="17" t="s">
        <v>139</v>
      </c>
      <c r="D4" s="17" t="s">
        <v>93</v>
      </c>
      <c r="E4" s="17" t="s">
        <v>125</v>
      </c>
      <c r="F4" s="17" t="s">
        <v>6</v>
      </c>
      <c r="G4" s="17" t="s">
        <v>126</v>
      </c>
      <c r="H4" s="17" t="s">
        <v>8</v>
      </c>
      <c r="I4" s="17" t="s">
        <v>141</v>
      </c>
      <c r="J4" s="17" t="s">
        <v>127</v>
      </c>
      <c r="K4" s="17" t="s">
        <v>97</v>
      </c>
      <c r="L4" s="17" t="s">
        <v>122</v>
      </c>
      <c r="M4" s="17" t="s">
        <v>13</v>
      </c>
    </row>
    <row r="5" spans="1:14" ht="15.95" customHeight="1" x14ac:dyDescent="0.2">
      <c r="A5" s="18" t="s">
        <v>14</v>
      </c>
      <c r="B5" s="168" t="s">
        <v>41</v>
      </c>
      <c r="C5" s="19">
        <v>3321.7489999999998</v>
      </c>
      <c r="D5" s="19">
        <v>430.27699999999999</v>
      </c>
      <c r="E5" s="19">
        <v>1E-3</v>
      </c>
      <c r="F5" s="19">
        <v>22667.077000000001</v>
      </c>
      <c r="G5" s="19">
        <v>0</v>
      </c>
      <c r="H5" s="19">
        <v>0</v>
      </c>
      <c r="I5" s="19">
        <v>35.442999999999998</v>
      </c>
      <c r="J5" s="19">
        <v>0</v>
      </c>
      <c r="K5" s="19">
        <v>30206.453000000001</v>
      </c>
      <c r="L5" s="19">
        <v>6936.1620000000003</v>
      </c>
      <c r="M5" s="178">
        <f>SUM(C5:L5)</f>
        <v>63597.161999999997</v>
      </c>
    </row>
    <row r="6" spans="1:14" ht="15.95" customHeight="1" x14ac:dyDescent="0.2">
      <c r="A6" s="18" t="s">
        <v>15</v>
      </c>
      <c r="B6" s="168" t="s">
        <v>130</v>
      </c>
      <c r="C6" s="19">
        <v>417995.03899999999</v>
      </c>
      <c r="D6" s="19">
        <v>35128.628119999994</v>
      </c>
      <c r="E6" s="19">
        <v>0</v>
      </c>
      <c r="F6" s="19">
        <v>55860</v>
      </c>
      <c r="G6" s="19">
        <v>0</v>
      </c>
      <c r="H6" s="19">
        <v>74113</v>
      </c>
      <c r="I6" s="19">
        <v>0</v>
      </c>
      <c r="J6" s="19">
        <v>2530</v>
      </c>
      <c r="K6" s="19">
        <v>217284.77799999999</v>
      </c>
      <c r="L6" s="19">
        <v>197006.41</v>
      </c>
      <c r="M6" s="178">
        <f t="shared" ref="M6:M34" si="0">SUM(C6:L6)</f>
        <v>999917.85512000008</v>
      </c>
    </row>
    <row r="7" spans="1:14" ht="15.95" customHeight="1" x14ac:dyDescent="0.2">
      <c r="A7" s="18" t="s">
        <v>16</v>
      </c>
      <c r="B7" s="168" t="s">
        <v>130</v>
      </c>
      <c r="C7" s="19">
        <v>2062970</v>
      </c>
      <c r="D7" s="19">
        <v>191672.44989644195</v>
      </c>
      <c r="E7" s="19">
        <v>1100</v>
      </c>
      <c r="F7" s="19">
        <v>131003.053</v>
      </c>
      <c r="G7" s="19">
        <v>2740</v>
      </c>
      <c r="H7" s="19">
        <v>382500</v>
      </c>
      <c r="I7" s="19">
        <v>0</v>
      </c>
      <c r="J7" s="19">
        <v>0</v>
      </c>
      <c r="K7" s="19">
        <v>1635047.6710000001</v>
      </c>
      <c r="L7" s="19">
        <v>381457.147</v>
      </c>
      <c r="M7" s="178">
        <f t="shared" si="0"/>
        <v>4788490.3208964411</v>
      </c>
    </row>
    <row r="8" spans="1:14" ht="15.95" customHeight="1" x14ac:dyDescent="0.2">
      <c r="A8" s="18" t="s">
        <v>17</v>
      </c>
      <c r="B8" s="168" t="s">
        <v>130</v>
      </c>
      <c r="C8" s="19">
        <v>4167.0169999999998</v>
      </c>
      <c r="D8" s="19">
        <v>4117.4329300000018</v>
      </c>
      <c r="E8" s="19">
        <v>2E-3</v>
      </c>
      <c r="F8" s="19">
        <v>20908.306</v>
      </c>
      <c r="G8" s="19">
        <v>0.31</v>
      </c>
      <c r="H8" s="19">
        <v>1680.1289999999999</v>
      </c>
      <c r="I8" s="19">
        <v>1105.047</v>
      </c>
      <c r="J8" s="19">
        <v>297.32299999999998</v>
      </c>
      <c r="K8" s="19">
        <v>38015.072999999997</v>
      </c>
      <c r="L8" s="19">
        <v>44479.89</v>
      </c>
      <c r="M8" s="178">
        <f t="shared" si="0"/>
        <v>114770.52993</v>
      </c>
    </row>
    <row r="9" spans="1:14" ht="15.95" customHeight="1" x14ac:dyDescent="0.2">
      <c r="A9" s="18" t="s">
        <v>18</v>
      </c>
      <c r="B9" s="168" t="s">
        <v>18</v>
      </c>
      <c r="C9" s="19">
        <v>0.1</v>
      </c>
      <c r="D9" s="19">
        <v>4525.4040000000005</v>
      </c>
      <c r="E9" s="19">
        <v>0</v>
      </c>
      <c r="F9" s="19">
        <v>75</v>
      </c>
      <c r="G9" s="19">
        <v>0</v>
      </c>
      <c r="H9" s="19">
        <v>3523074.7570000002</v>
      </c>
      <c r="I9" s="19">
        <v>0</v>
      </c>
      <c r="J9" s="19">
        <v>0</v>
      </c>
      <c r="K9" s="19">
        <v>6368683.085</v>
      </c>
      <c r="L9" s="19">
        <v>552875.61300000001</v>
      </c>
      <c r="M9" s="178">
        <f t="shared" si="0"/>
        <v>10449233.959000001</v>
      </c>
    </row>
    <row r="10" spans="1:14" ht="15.95" customHeight="1" x14ac:dyDescent="0.2">
      <c r="A10" s="18" t="s">
        <v>19</v>
      </c>
      <c r="B10" s="168" t="s">
        <v>131</v>
      </c>
      <c r="C10" s="19">
        <v>570416.83100000001</v>
      </c>
      <c r="D10" s="19">
        <v>195880.58350999997</v>
      </c>
      <c r="E10" s="19">
        <v>0</v>
      </c>
      <c r="F10" s="19">
        <v>2752083.4350000001</v>
      </c>
      <c r="G10" s="19">
        <v>0</v>
      </c>
      <c r="H10" s="19">
        <v>42387.915000000001</v>
      </c>
      <c r="I10" s="19">
        <v>91358.384999999995</v>
      </c>
      <c r="J10" s="19">
        <v>0</v>
      </c>
      <c r="K10" s="19">
        <v>1675360.084</v>
      </c>
      <c r="L10" s="19">
        <v>11600769.356000001</v>
      </c>
      <c r="M10" s="178">
        <f t="shared" si="0"/>
        <v>16928256.589510001</v>
      </c>
    </row>
    <row r="11" spans="1:14" ht="15.95" customHeight="1" x14ac:dyDescent="0.2">
      <c r="A11" s="18" t="s">
        <v>112</v>
      </c>
      <c r="B11" s="168" t="s">
        <v>131</v>
      </c>
      <c r="C11" s="19">
        <v>75192.063999999998</v>
      </c>
      <c r="D11" s="19">
        <v>66216.952194500001</v>
      </c>
      <c r="E11" s="19">
        <v>31910.012999999999</v>
      </c>
      <c r="F11" s="19">
        <v>127727.72900000001</v>
      </c>
      <c r="G11" s="19">
        <v>733.6</v>
      </c>
      <c r="H11" s="19">
        <v>0</v>
      </c>
      <c r="I11" s="19">
        <v>154127.40299999999</v>
      </c>
      <c r="J11" s="19">
        <v>0</v>
      </c>
      <c r="K11" s="19">
        <v>439636.17200000002</v>
      </c>
      <c r="L11" s="19">
        <v>2552751.12</v>
      </c>
      <c r="M11" s="178">
        <f t="shared" si="0"/>
        <v>3448295.0531945</v>
      </c>
    </row>
    <row r="12" spans="1:14" ht="15.95" customHeight="1" x14ac:dyDescent="0.2">
      <c r="A12" s="18" t="s">
        <v>113</v>
      </c>
      <c r="B12" s="168" t="s">
        <v>132</v>
      </c>
      <c r="C12" s="19">
        <v>301136.04599999997</v>
      </c>
      <c r="D12" s="19">
        <v>211658.48714578248</v>
      </c>
      <c r="E12" s="19">
        <v>0</v>
      </c>
      <c r="F12" s="19">
        <v>0</v>
      </c>
      <c r="G12" s="19">
        <v>0</v>
      </c>
      <c r="H12" s="19">
        <v>0</v>
      </c>
      <c r="I12" s="19">
        <v>376829.97700000001</v>
      </c>
      <c r="J12" s="19">
        <v>0</v>
      </c>
      <c r="K12" s="19">
        <v>0</v>
      </c>
      <c r="L12" s="19">
        <v>4479553.4970000004</v>
      </c>
      <c r="M12" s="178">
        <f t="shared" si="0"/>
        <v>5369178.0071457829</v>
      </c>
    </row>
    <row r="13" spans="1:14" ht="15.95" customHeight="1" x14ac:dyDescent="0.2">
      <c r="A13" s="18" t="s">
        <v>114</v>
      </c>
      <c r="B13" s="168" t="s">
        <v>132</v>
      </c>
      <c r="C13" s="19">
        <v>215049.48800000001</v>
      </c>
      <c r="D13" s="19">
        <v>48964.275489799998</v>
      </c>
      <c r="E13" s="19">
        <v>0</v>
      </c>
      <c r="F13" s="19">
        <v>1163921.3689999999</v>
      </c>
      <c r="G13" s="19">
        <v>0</v>
      </c>
      <c r="H13" s="19">
        <v>0</v>
      </c>
      <c r="I13" s="19">
        <v>0</v>
      </c>
      <c r="J13" s="19">
        <v>0</v>
      </c>
      <c r="K13" s="19">
        <v>5352.7049999999999</v>
      </c>
      <c r="L13" s="19">
        <v>10240171.950999999</v>
      </c>
      <c r="M13" s="178">
        <f t="shared" si="0"/>
        <v>11673459.7884898</v>
      </c>
    </row>
    <row r="14" spans="1:14" ht="15.95" customHeight="1" x14ac:dyDescent="0.2">
      <c r="A14" s="18" t="s">
        <v>102</v>
      </c>
      <c r="B14" s="168" t="s">
        <v>133</v>
      </c>
      <c r="C14" s="19">
        <v>1143539.4850000001</v>
      </c>
      <c r="D14" s="19">
        <v>232041.46599999999</v>
      </c>
      <c r="E14" s="19">
        <v>0</v>
      </c>
      <c r="F14" s="19">
        <v>6191163.4349999996</v>
      </c>
      <c r="G14" s="19">
        <v>0</v>
      </c>
      <c r="H14" s="19">
        <v>0</v>
      </c>
      <c r="I14" s="19">
        <v>0</v>
      </c>
      <c r="J14" s="19">
        <v>0</v>
      </c>
      <c r="K14" s="19">
        <v>6690427.7340000002</v>
      </c>
      <c r="L14" s="19">
        <v>8416465.4189999998</v>
      </c>
      <c r="M14" s="178">
        <f t="shared" si="0"/>
        <v>22673637.539000001</v>
      </c>
    </row>
    <row r="15" spans="1:14" ht="15.95" customHeight="1" x14ac:dyDescent="0.2">
      <c r="A15" s="18" t="s">
        <v>24</v>
      </c>
      <c r="B15" s="168" t="s">
        <v>133</v>
      </c>
      <c r="C15" s="19">
        <v>433968.65</v>
      </c>
      <c r="D15" s="19">
        <v>69043.048909999998</v>
      </c>
      <c r="E15" s="19">
        <v>0</v>
      </c>
      <c r="F15" s="19">
        <v>594635.39500000002</v>
      </c>
      <c r="G15" s="19">
        <v>0</v>
      </c>
      <c r="H15" s="19">
        <v>0</v>
      </c>
      <c r="I15" s="19">
        <v>79516.951000000001</v>
      </c>
      <c r="J15" s="19">
        <v>0</v>
      </c>
      <c r="K15" s="19">
        <v>669457.505</v>
      </c>
      <c r="L15" s="19">
        <v>6897901.4270000001</v>
      </c>
      <c r="M15" s="178">
        <f t="shared" si="0"/>
        <v>8744522.9769100007</v>
      </c>
    </row>
    <row r="16" spans="1:14" ht="15.95" customHeight="1" x14ac:dyDescent="0.2">
      <c r="A16" s="18" t="s">
        <v>103</v>
      </c>
      <c r="B16" s="168" t="s">
        <v>134</v>
      </c>
      <c r="C16" s="19">
        <v>210743.84</v>
      </c>
      <c r="D16" s="19">
        <v>34011.093390000009</v>
      </c>
      <c r="E16" s="19">
        <v>626.95100000000002</v>
      </c>
      <c r="F16" s="19">
        <v>238629.902</v>
      </c>
      <c r="G16" s="19">
        <v>3439.326</v>
      </c>
      <c r="H16" s="19">
        <v>51095.639000000003</v>
      </c>
      <c r="I16" s="19">
        <v>27444.534</v>
      </c>
      <c r="J16" s="19">
        <v>0</v>
      </c>
      <c r="K16" s="19">
        <v>996450.34600000002</v>
      </c>
      <c r="L16" s="19">
        <v>2706840.787</v>
      </c>
      <c r="M16" s="178">
        <f t="shared" si="0"/>
        <v>4269282.4183900002</v>
      </c>
    </row>
    <row r="17" spans="1:13" ht="15.95" customHeight="1" x14ac:dyDescent="0.2">
      <c r="A17" s="18" t="s">
        <v>26</v>
      </c>
      <c r="B17" s="168" t="s">
        <v>134</v>
      </c>
      <c r="C17" s="19">
        <v>0</v>
      </c>
      <c r="D17" s="19">
        <v>0</v>
      </c>
      <c r="E17" s="19">
        <v>0</v>
      </c>
      <c r="F17" s="19">
        <v>1156.8589999999999</v>
      </c>
      <c r="G17" s="19">
        <v>0</v>
      </c>
      <c r="H17" s="19">
        <v>0</v>
      </c>
      <c r="I17" s="19">
        <v>0</v>
      </c>
      <c r="J17" s="19">
        <v>0</v>
      </c>
      <c r="K17" s="19">
        <v>1820.796</v>
      </c>
      <c r="L17" s="19">
        <v>3543095.9679999999</v>
      </c>
      <c r="M17" s="178">
        <f t="shared" si="0"/>
        <v>3546073.6229999997</v>
      </c>
    </row>
    <row r="18" spans="1:13" ht="15.95" customHeight="1" x14ac:dyDescent="0.2">
      <c r="A18" s="18" t="s">
        <v>104</v>
      </c>
      <c r="B18" s="168" t="s">
        <v>134</v>
      </c>
      <c r="C18" s="19">
        <v>54331.351000000002</v>
      </c>
      <c r="D18" s="19">
        <v>24893.237290000005</v>
      </c>
      <c r="E18" s="19">
        <v>12.609</v>
      </c>
      <c r="F18" s="19">
        <v>8132.3770000000004</v>
      </c>
      <c r="G18" s="19">
        <v>52.287999999999997</v>
      </c>
      <c r="H18" s="19">
        <v>52748.042000000001</v>
      </c>
      <c r="I18" s="19">
        <v>750.75599999999997</v>
      </c>
      <c r="J18" s="19">
        <v>87.219059999999999</v>
      </c>
      <c r="K18" s="19">
        <v>72340.694000000003</v>
      </c>
      <c r="L18" s="19">
        <v>50758.129000000001</v>
      </c>
      <c r="M18" s="178">
        <f t="shared" si="0"/>
        <v>264106.70235000004</v>
      </c>
    </row>
    <row r="19" spans="1:13" ht="15.95" customHeight="1" x14ac:dyDescent="0.2">
      <c r="A19" s="18" t="s">
        <v>28</v>
      </c>
      <c r="B19" s="168" t="s">
        <v>134</v>
      </c>
      <c r="C19" s="19">
        <v>4355.4129999999996</v>
      </c>
      <c r="D19" s="19">
        <v>0</v>
      </c>
      <c r="E19" s="19">
        <v>0</v>
      </c>
      <c r="F19" s="19">
        <v>176418.345</v>
      </c>
      <c r="G19" s="19">
        <v>0</v>
      </c>
      <c r="H19" s="19">
        <v>0</v>
      </c>
      <c r="I19" s="19">
        <v>0</v>
      </c>
      <c r="J19" s="19">
        <v>0</v>
      </c>
      <c r="K19" s="19">
        <v>269931.65399999998</v>
      </c>
      <c r="L19" s="19">
        <v>116756.97100000001</v>
      </c>
      <c r="M19" s="178">
        <f t="shared" si="0"/>
        <v>567462.38300000003</v>
      </c>
    </row>
    <row r="20" spans="1:13" ht="15.95" customHeight="1" x14ac:dyDescent="0.2">
      <c r="A20" s="18" t="s">
        <v>29</v>
      </c>
      <c r="B20" s="168" t="s">
        <v>134</v>
      </c>
      <c r="C20" s="19">
        <v>6324.3580000000002</v>
      </c>
      <c r="D20" s="19">
        <v>0</v>
      </c>
      <c r="E20" s="19">
        <v>0</v>
      </c>
      <c r="F20" s="19">
        <v>293.596</v>
      </c>
      <c r="G20" s="19">
        <v>224.12799999999999</v>
      </c>
      <c r="H20" s="19">
        <v>0</v>
      </c>
      <c r="I20" s="19">
        <v>0</v>
      </c>
      <c r="J20" s="19">
        <v>0</v>
      </c>
      <c r="K20" s="19">
        <v>0</v>
      </c>
      <c r="L20" s="19">
        <v>20877.665000000001</v>
      </c>
      <c r="M20" s="178">
        <f t="shared" si="0"/>
        <v>27719.746999999999</v>
      </c>
    </row>
    <row r="21" spans="1:13" ht="15.95" customHeight="1" x14ac:dyDescent="0.2">
      <c r="A21" s="18" t="s">
        <v>105</v>
      </c>
      <c r="B21" s="168" t="s">
        <v>134</v>
      </c>
      <c r="C21" s="19">
        <v>0</v>
      </c>
      <c r="D21" s="19">
        <v>58.641440000000003</v>
      </c>
      <c r="E21" s="19">
        <v>0</v>
      </c>
      <c r="F21" s="19">
        <v>7673.4430000000002</v>
      </c>
      <c r="G21" s="19">
        <v>0</v>
      </c>
      <c r="H21" s="19">
        <v>0</v>
      </c>
      <c r="I21" s="19">
        <v>0</v>
      </c>
      <c r="J21" s="19">
        <v>0</v>
      </c>
      <c r="K21" s="19">
        <v>1499.075</v>
      </c>
      <c r="L21" s="19">
        <v>121398.719</v>
      </c>
      <c r="M21" s="178">
        <f t="shared" si="0"/>
        <v>130629.87844</v>
      </c>
    </row>
    <row r="22" spans="1:13" ht="15.95" customHeight="1" x14ac:dyDescent="0.2">
      <c r="A22" s="18" t="s">
        <v>106</v>
      </c>
      <c r="B22" s="168" t="s">
        <v>134</v>
      </c>
      <c r="C22" s="19">
        <v>0</v>
      </c>
      <c r="D22" s="19">
        <v>33730.713565000005</v>
      </c>
      <c r="E22" s="19">
        <v>0</v>
      </c>
      <c r="F22" s="19">
        <v>33744.135999999999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78">
        <f t="shared" si="0"/>
        <v>67474.849565000011</v>
      </c>
    </row>
    <row r="23" spans="1:13" ht="15.95" customHeight="1" x14ac:dyDescent="0.2">
      <c r="A23" s="18" t="s">
        <v>115</v>
      </c>
      <c r="B23" s="168" t="s">
        <v>134</v>
      </c>
      <c r="C23" s="19">
        <v>0</v>
      </c>
      <c r="D23" s="19">
        <v>65584.344999999987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50037.671000000002</v>
      </c>
      <c r="M23" s="178">
        <f t="shared" si="0"/>
        <v>115622.01599999999</v>
      </c>
    </row>
    <row r="24" spans="1:13" ht="15.95" customHeight="1" x14ac:dyDescent="0.2">
      <c r="A24" s="18" t="s">
        <v>32</v>
      </c>
      <c r="B24" s="168" t="s">
        <v>135</v>
      </c>
      <c r="C24" s="19">
        <v>20</v>
      </c>
      <c r="D24" s="19">
        <v>13.411179999999993</v>
      </c>
      <c r="E24" s="19">
        <v>0</v>
      </c>
      <c r="F24" s="19">
        <v>7.74</v>
      </c>
      <c r="G24" s="19">
        <v>0.44400000000000001</v>
      </c>
      <c r="H24" s="19">
        <v>0</v>
      </c>
      <c r="I24" s="19">
        <v>496.36500000000001</v>
      </c>
      <c r="J24" s="19">
        <v>3</v>
      </c>
      <c r="K24" s="19">
        <v>907.90200000000004</v>
      </c>
      <c r="L24" s="19">
        <v>48.65</v>
      </c>
      <c r="M24" s="178">
        <f t="shared" si="0"/>
        <v>1497.5121800000002</v>
      </c>
    </row>
    <row r="25" spans="1:13" ht="15.95" customHeight="1" x14ac:dyDescent="0.2">
      <c r="A25" s="18" t="s">
        <v>107</v>
      </c>
      <c r="B25" s="168" t="s">
        <v>135</v>
      </c>
      <c r="C25" s="19">
        <v>2564215.6770000001</v>
      </c>
      <c r="D25" s="19">
        <v>134985.04478999993</v>
      </c>
      <c r="E25" s="19">
        <v>5187.2839999999997</v>
      </c>
      <c r="F25" s="19">
        <v>52490.233999999997</v>
      </c>
      <c r="G25" s="19">
        <v>11539.964</v>
      </c>
      <c r="H25" s="19">
        <v>76543.649000000005</v>
      </c>
      <c r="I25" s="19">
        <v>133624.63399999999</v>
      </c>
      <c r="J25" s="19">
        <v>593.71500000000003</v>
      </c>
      <c r="K25" s="19">
        <v>456156.25799999997</v>
      </c>
      <c r="L25" s="19">
        <v>1151837.29</v>
      </c>
      <c r="M25" s="178">
        <f t="shared" si="0"/>
        <v>4587173.7497899998</v>
      </c>
    </row>
    <row r="26" spans="1:13" ht="15.95" customHeight="1" x14ac:dyDescent="0.2">
      <c r="A26" s="18" t="s">
        <v>34</v>
      </c>
      <c r="B26" s="168" t="s">
        <v>135</v>
      </c>
      <c r="C26" s="19">
        <v>125000</v>
      </c>
      <c r="D26" s="19">
        <v>3346.0733100000002</v>
      </c>
      <c r="E26" s="19">
        <v>10000</v>
      </c>
      <c r="F26" s="19">
        <v>242915.541</v>
      </c>
      <c r="G26" s="19">
        <v>13306.7</v>
      </c>
      <c r="H26" s="19">
        <v>285140</v>
      </c>
      <c r="I26" s="19">
        <v>0</v>
      </c>
      <c r="J26" s="19">
        <v>3000</v>
      </c>
      <c r="K26" s="19">
        <v>781984.94099999999</v>
      </c>
      <c r="L26" s="19">
        <v>1407595.7919999999</v>
      </c>
      <c r="M26" s="178">
        <f t="shared" si="0"/>
        <v>2872289.0473099998</v>
      </c>
    </row>
    <row r="27" spans="1:13" ht="15.95" customHeight="1" x14ac:dyDescent="0.2">
      <c r="A27" s="18" t="s">
        <v>108</v>
      </c>
      <c r="B27" s="168" t="s">
        <v>135</v>
      </c>
      <c r="C27" s="19">
        <v>0</v>
      </c>
      <c r="D27" s="19">
        <v>0</v>
      </c>
      <c r="E27" s="19">
        <v>4568.75</v>
      </c>
      <c r="F27" s="19">
        <v>0</v>
      </c>
      <c r="G27" s="19">
        <v>0</v>
      </c>
      <c r="H27" s="19">
        <v>10000</v>
      </c>
      <c r="I27" s="19">
        <v>0</v>
      </c>
      <c r="J27" s="19">
        <v>44958.796999999999</v>
      </c>
      <c r="K27" s="19">
        <v>21936.167000000001</v>
      </c>
      <c r="L27" s="19">
        <v>503323.15700000001</v>
      </c>
      <c r="M27" s="178">
        <f t="shared" si="0"/>
        <v>584786.87100000004</v>
      </c>
    </row>
    <row r="28" spans="1:13" ht="15.95" customHeight="1" x14ac:dyDescent="0.2">
      <c r="A28" s="18" t="s">
        <v>109</v>
      </c>
      <c r="B28" s="168" t="s">
        <v>134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3099.8879999999999</v>
      </c>
      <c r="J28" s="19">
        <v>0</v>
      </c>
      <c r="K28" s="19">
        <v>0</v>
      </c>
      <c r="L28" s="19">
        <v>108690.738</v>
      </c>
      <c r="M28" s="178">
        <f t="shared" si="0"/>
        <v>111790.626</v>
      </c>
    </row>
    <row r="29" spans="1:13" ht="15.95" customHeight="1" x14ac:dyDescent="0.2">
      <c r="A29" s="18" t="s">
        <v>116</v>
      </c>
      <c r="B29" s="168" t="s">
        <v>134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15277.235000000001</v>
      </c>
      <c r="M29" s="178">
        <f t="shared" si="0"/>
        <v>15277.235000000001</v>
      </c>
    </row>
    <row r="30" spans="1:13" ht="15.95" customHeight="1" x14ac:dyDescent="0.2">
      <c r="A30" s="18" t="s">
        <v>117</v>
      </c>
      <c r="B30" s="168" t="s">
        <v>134</v>
      </c>
      <c r="C30" s="19">
        <v>17465.257000000001</v>
      </c>
      <c r="D30" s="19">
        <v>0</v>
      </c>
      <c r="E30" s="19">
        <v>140.947</v>
      </c>
      <c r="F30" s="19">
        <v>55405.542999999998</v>
      </c>
      <c r="G30" s="19">
        <v>189.756</v>
      </c>
      <c r="H30" s="19">
        <v>14884.232</v>
      </c>
      <c r="I30" s="19">
        <v>1334.731</v>
      </c>
      <c r="J30" s="19">
        <v>0</v>
      </c>
      <c r="K30" s="19">
        <v>32693.113000000001</v>
      </c>
      <c r="L30" s="19">
        <v>405436.7</v>
      </c>
      <c r="M30" s="178">
        <f t="shared" si="0"/>
        <v>527550.27899999998</v>
      </c>
    </row>
    <row r="31" spans="1:13" ht="15.95" customHeight="1" x14ac:dyDescent="0.2">
      <c r="A31" s="18" t="s">
        <v>110</v>
      </c>
      <c r="B31" s="168" t="s">
        <v>134</v>
      </c>
      <c r="C31" s="19">
        <v>0</v>
      </c>
      <c r="D31" s="19">
        <v>2916.8610899999999</v>
      </c>
      <c r="E31" s="19">
        <v>0</v>
      </c>
      <c r="F31" s="19">
        <v>0</v>
      </c>
      <c r="G31" s="19">
        <v>0</v>
      </c>
      <c r="H31" s="19">
        <v>0</v>
      </c>
      <c r="I31" s="19">
        <v>4865.7830000000004</v>
      </c>
      <c r="J31" s="19">
        <v>0</v>
      </c>
      <c r="K31" s="19">
        <v>149133.375</v>
      </c>
      <c r="L31" s="19">
        <v>10957.636</v>
      </c>
      <c r="M31" s="178">
        <f t="shared" si="0"/>
        <v>167873.65508999999</v>
      </c>
    </row>
    <row r="32" spans="1:13" ht="15.95" customHeight="1" x14ac:dyDescent="0.2">
      <c r="A32" s="18" t="s">
        <v>37</v>
      </c>
      <c r="B32" s="168" t="s">
        <v>134</v>
      </c>
      <c r="C32" s="19">
        <v>1730211.031</v>
      </c>
      <c r="D32" s="19">
        <v>5075.8129199999994</v>
      </c>
      <c r="E32" s="19">
        <v>0</v>
      </c>
      <c r="F32" s="19">
        <v>0</v>
      </c>
      <c r="G32" s="19">
        <v>0</v>
      </c>
      <c r="H32" s="19">
        <v>0</v>
      </c>
      <c r="I32" s="19">
        <v>3600.5070000000001</v>
      </c>
      <c r="J32" s="19">
        <v>0</v>
      </c>
      <c r="K32" s="19">
        <v>240254.39300000001</v>
      </c>
      <c r="L32" s="19">
        <v>161305.22700000001</v>
      </c>
      <c r="M32" s="178">
        <f t="shared" si="0"/>
        <v>2140446.9709199998</v>
      </c>
    </row>
    <row r="33" spans="1:13" ht="15.95" customHeight="1" x14ac:dyDescent="0.2">
      <c r="A33" s="18" t="s">
        <v>40</v>
      </c>
      <c r="B33" s="168" t="s">
        <v>134</v>
      </c>
      <c r="C33" s="19">
        <v>189807.17300000001</v>
      </c>
      <c r="D33" s="19">
        <v>37726.68072499994</v>
      </c>
      <c r="E33" s="19">
        <v>0</v>
      </c>
      <c r="F33" s="19">
        <v>13794.726000000001</v>
      </c>
      <c r="G33" s="19">
        <v>2698.6680000000001</v>
      </c>
      <c r="H33" s="19">
        <v>71273.660999999993</v>
      </c>
      <c r="I33" s="19">
        <v>26946.745999999999</v>
      </c>
      <c r="J33" s="19">
        <v>3613.7510000000002</v>
      </c>
      <c r="K33" s="19">
        <v>238</v>
      </c>
      <c r="L33" s="19">
        <v>383171.125</v>
      </c>
      <c r="M33" s="178">
        <f t="shared" si="0"/>
        <v>729270.53072499996</v>
      </c>
    </row>
    <row r="34" spans="1:13" ht="15.95" customHeight="1" x14ac:dyDescent="0.2">
      <c r="A34" s="18" t="s">
        <v>41</v>
      </c>
      <c r="B34" s="168" t="s">
        <v>41</v>
      </c>
      <c r="C34" s="19">
        <v>123.71</v>
      </c>
      <c r="D34" s="19"/>
      <c r="E34" s="19">
        <v>1829.9359999999999</v>
      </c>
      <c r="F34" s="19">
        <v>7768.5429999999997</v>
      </c>
      <c r="G34" s="19">
        <v>0</v>
      </c>
      <c r="H34" s="19">
        <v>0</v>
      </c>
      <c r="I34" s="19"/>
      <c r="J34" s="19">
        <v>97.724000000000004</v>
      </c>
      <c r="K34" s="19">
        <v>158150.15</v>
      </c>
      <c r="L34" s="19">
        <v>45441.364000000001</v>
      </c>
      <c r="M34" s="178">
        <f t="shared" si="0"/>
        <v>213411.427</v>
      </c>
    </row>
    <row r="35" spans="1:13" ht="5.25" customHeight="1" x14ac:dyDescent="0.2">
      <c r="A35" s="20"/>
      <c r="B35" s="20"/>
      <c r="C35" s="20"/>
      <c r="D35" s="20"/>
      <c r="E35" s="20"/>
      <c r="F35" s="20"/>
      <c r="G35" s="166"/>
      <c r="H35" s="20"/>
      <c r="I35" s="20"/>
      <c r="J35" s="20"/>
      <c r="K35" s="20"/>
      <c r="L35" s="20"/>
      <c r="M35" s="20"/>
    </row>
    <row r="36" spans="1:13" ht="17.100000000000001" customHeight="1" x14ac:dyDescent="0.2">
      <c r="A36" s="21" t="s">
        <v>13</v>
      </c>
      <c r="B36" s="21"/>
      <c r="C36" s="22">
        <f t="shared" ref="C36:H36" si="1">SUM(C5:C34)</f>
        <v>10130354.279000001</v>
      </c>
      <c r="D36" s="22">
        <f t="shared" si="1"/>
        <v>1402020.9198965242</v>
      </c>
      <c r="E36" s="22">
        <f t="shared" si="1"/>
        <v>55376.492999999995</v>
      </c>
      <c r="F36" s="22">
        <f t="shared" si="1"/>
        <v>11898475.783999998</v>
      </c>
      <c r="G36" s="22">
        <f t="shared" si="1"/>
        <v>34925.184000000001</v>
      </c>
      <c r="H36" s="22">
        <f t="shared" si="1"/>
        <v>4585441.0240000002</v>
      </c>
      <c r="I36" s="22">
        <f>SUM(I5:I34)</f>
        <v>905137.15000000014</v>
      </c>
      <c r="J36" s="22">
        <f>SUM(J5:J34)</f>
        <v>55181.529060000001</v>
      </c>
      <c r="K36" s="22">
        <f>SUM(K5:K34)</f>
        <v>20952968.123999998</v>
      </c>
      <c r="L36" s="22">
        <f>SUM(L5:L34)</f>
        <v>56173218.816</v>
      </c>
      <c r="M36" s="22">
        <f>SUM(M5:M34)</f>
        <v>106193099.30295652</v>
      </c>
    </row>
    <row r="37" spans="1:13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">
      <c r="A38" s="23" t="s">
        <v>111</v>
      </c>
      <c r="B38" s="23"/>
      <c r="C38" s="23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x14ac:dyDescent="0.2">
      <c r="A39" s="23" t="s">
        <v>142</v>
      </c>
      <c r="B39" s="23"/>
      <c r="C39" s="23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x14ac:dyDescent="0.2">
      <c r="A40" s="27" t="s">
        <v>123</v>
      </c>
      <c r="B40" s="27"/>
      <c r="C40" s="27"/>
    </row>
    <row r="41" spans="1:13" x14ac:dyDescent="0.2">
      <c r="A41" s="28"/>
      <c r="B41" s="28"/>
      <c r="C41" s="28"/>
    </row>
  </sheetData>
  <mergeCells count="3">
    <mergeCell ref="A1:M1"/>
    <mergeCell ref="A2:M2"/>
    <mergeCell ref="A3:M3"/>
  </mergeCells>
  <pageMargins left="0.7" right="0.7" top="0.75" bottom="0.75" header="0.3" footer="0.3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>
      <pane xSplit="1" ySplit="4" topLeftCell="C5" activePane="bottomRight" state="frozen"/>
      <selection activeCell="E13" sqref="E13"/>
      <selection pane="topRight" activeCell="E13" sqref="E13"/>
      <selection pane="bottomLeft" activeCell="E13" sqref="E13"/>
      <selection pane="bottomRight" activeCell="A3" sqref="A3:M3"/>
    </sheetView>
  </sheetViews>
  <sheetFormatPr defaultRowHeight="12.75" x14ac:dyDescent="0.2"/>
  <cols>
    <col min="1" max="1" width="36.7109375" style="16" customWidth="1"/>
    <col min="2" max="2" width="22.42578125" style="16" hidden="1" customWidth="1"/>
    <col min="3" max="8" width="15.7109375" style="16" customWidth="1"/>
    <col min="9" max="9" width="18.140625" style="16" customWidth="1"/>
    <col min="10" max="13" width="15.7109375" style="16" customWidth="1"/>
    <col min="14" max="14" width="20.7109375" customWidth="1"/>
  </cols>
  <sheetData>
    <row r="1" spans="1:14" s="29" customFormat="1" ht="14.1" customHeight="1" x14ac:dyDescent="0.25">
      <c r="A1" s="182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/>
    </row>
    <row r="2" spans="1:14" s="29" customFormat="1" ht="14.1" customHeight="1" x14ac:dyDescent="0.25">
      <c r="A2" s="182" t="s">
        <v>140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/>
    </row>
    <row r="3" spans="1:14" ht="14.1" customHeight="1" x14ac:dyDescent="0.2">
      <c r="A3" s="183" t="s">
        <v>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4" ht="51" customHeight="1" x14ac:dyDescent="0.2">
      <c r="A4" s="17"/>
      <c r="B4" s="17"/>
      <c r="C4" s="17" t="s">
        <v>139</v>
      </c>
      <c r="D4" s="17" t="s">
        <v>93</v>
      </c>
      <c r="E4" s="17" t="s">
        <v>125</v>
      </c>
      <c r="F4" s="17" t="s">
        <v>6</v>
      </c>
      <c r="G4" s="17" t="s">
        <v>126</v>
      </c>
      <c r="H4" s="17" t="s">
        <v>8</v>
      </c>
      <c r="I4" s="17" t="s">
        <v>141</v>
      </c>
      <c r="J4" s="17" t="s">
        <v>127</v>
      </c>
      <c r="K4" s="17" t="s">
        <v>97</v>
      </c>
      <c r="L4" s="17" t="s">
        <v>122</v>
      </c>
      <c r="M4" s="17" t="s">
        <v>13</v>
      </c>
    </row>
    <row r="5" spans="1:14" ht="15.95" customHeight="1" x14ac:dyDescent="0.2">
      <c r="A5" s="18" t="s">
        <v>14</v>
      </c>
      <c r="B5" s="168" t="s">
        <v>41</v>
      </c>
      <c r="C5" s="19">
        <v>5471.56</v>
      </c>
      <c r="D5" s="19">
        <v>898.47699999999998</v>
      </c>
      <c r="E5" s="19">
        <v>1E-3</v>
      </c>
      <c r="F5" s="19">
        <v>12943.556</v>
      </c>
      <c r="G5" s="19">
        <v>0</v>
      </c>
      <c r="H5" s="19">
        <v>0</v>
      </c>
      <c r="I5" s="19">
        <v>203.71299999999999</v>
      </c>
      <c r="J5" s="19">
        <v>0</v>
      </c>
      <c r="K5" s="19">
        <v>32914.464999999997</v>
      </c>
      <c r="L5" s="19">
        <v>7720.7</v>
      </c>
      <c r="M5" s="178">
        <f>SUM(C5:L5)</f>
        <v>60152.471999999994</v>
      </c>
    </row>
    <row r="6" spans="1:14" ht="15.95" customHeight="1" x14ac:dyDescent="0.2">
      <c r="A6" s="18" t="s">
        <v>15</v>
      </c>
      <c r="B6" s="168" t="s">
        <v>130</v>
      </c>
      <c r="C6" s="19">
        <v>401200</v>
      </c>
      <c r="D6" s="19">
        <v>35095.54</v>
      </c>
      <c r="E6" s="19">
        <v>0</v>
      </c>
      <c r="F6" s="19">
        <v>57000</v>
      </c>
      <c r="G6" s="19">
        <v>0</v>
      </c>
      <c r="H6" s="19">
        <v>74113</v>
      </c>
      <c r="I6" s="19">
        <v>0</v>
      </c>
      <c r="J6" s="19">
        <v>2585.0000399999999</v>
      </c>
      <c r="K6" s="19">
        <v>253562.908</v>
      </c>
      <c r="L6" s="19">
        <v>202237.93400000001</v>
      </c>
      <c r="M6" s="178">
        <f t="shared" ref="M6:M34" si="0">SUM(C6:L6)</f>
        <v>1025794.3820399999</v>
      </c>
    </row>
    <row r="7" spans="1:14" ht="15.95" customHeight="1" x14ac:dyDescent="0.2">
      <c r="A7" s="18" t="s">
        <v>16</v>
      </c>
      <c r="B7" s="168" t="s">
        <v>130</v>
      </c>
      <c r="C7" s="19">
        <v>1940900</v>
      </c>
      <c r="D7" s="19">
        <v>178941.14</v>
      </c>
      <c r="E7" s="19">
        <v>1100</v>
      </c>
      <c r="F7" s="19">
        <v>131003.053</v>
      </c>
      <c r="G7" s="19">
        <v>1540</v>
      </c>
      <c r="H7" s="19">
        <v>382500</v>
      </c>
      <c r="I7" s="19">
        <v>0</v>
      </c>
      <c r="J7" s="19">
        <v>0</v>
      </c>
      <c r="K7" s="19">
        <v>1473709.5649999999</v>
      </c>
      <c r="L7" s="19">
        <v>388057.65100000001</v>
      </c>
      <c r="M7" s="178">
        <f t="shared" si="0"/>
        <v>4497751.409</v>
      </c>
    </row>
    <row r="8" spans="1:14" ht="15.95" customHeight="1" x14ac:dyDescent="0.2">
      <c r="A8" s="18" t="s">
        <v>17</v>
      </c>
      <c r="B8" s="168" t="s">
        <v>130</v>
      </c>
      <c r="C8" s="19">
        <v>5812.1660000000002</v>
      </c>
      <c r="D8" s="19">
        <v>8342.1479999999992</v>
      </c>
      <c r="E8" s="19">
        <v>2E-3</v>
      </c>
      <c r="F8" s="19">
        <v>27985.501</v>
      </c>
      <c r="G8" s="19">
        <v>0.31</v>
      </c>
      <c r="H8" s="19">
        <v>2607.0749999999998</v>
      </c>
      <c r="I8" s="19">
        <v>1831.405</v>
      </c>
      <c r="J8" s="19">
        <v>331.75908492911992</v>
      </c>
      <c r="K8" s="19">
        <v>35777.862000000001</v>
      </c>
      <c r="L8" s="19">
        <v>57519.571000000004</v>
      </c>
      <c r="M8" s="178">
        <f t="shared" si="0"/>
        <v>140207.79908492911</v>
      </c>
    </row>
    <row r="9" spans="1:14" ht="15.95" customHeight="1" x14ac:dyDescent="0.2">
      <c r="A9" s="18" t="s">
        <v>18</v>
      </c>
      <c r="B9" s="168" t="s">
        <v>18</v>
      </c>
      <c r="C9" s="19">
        <v>0.10100000000000001</v>
      </c>
      <c r="D9" s="19">
        <v>4699.4570000000003</v>
      </c>
      <c r="E9" s="19">
        <v>0</v>
      </c>
      <c r="F9" s="19">
        <v>75</v>
      </c>
      <c r="G9" s="19">
        <v>0</v>
      </c>
      <c r="H9" s="19">
        <v>3493103.5329999998</v>
      </c>
      <c r="I9" s="19">
        <v>0</v>
      </c>
      <c r="J9" s="19">
        <v>0</v>
      </c>
      <c r="K9" s="19">
        <v>4745599.5489999996</v>
      </c>
      <c r="L9" s="19">
        <v>552875.61300000001</v>
      </c>
      <c r="M9" s="178">
        <f t="shared" si="0"/>
        <v>8796353.2530000005</v>
      </c>
    </row>
    <row r="10" spans="1:14" ht="15.95" customHeight="1" x14ac:dyDescent="0.2">
      <c r="A10" s="18" t="s">
        <v>19</v>
      </c>
      <c r="B10" s="168" t="s">
        <v>131</v>
      </c>
      <c r="C10" s="19">
        <v>10650.377</v>
      </c>
      <c r="D10" s="19">
        <v>162127.60310000001</v>
      </c>
      <c r="E10" s="19">
        <v>0</v>
      </c>
      <c r="F10" s="19">
        <v>2213817.111</v>
      </c>
      <c r="G10" s="19">
        <v>607.6</v>
      </c>
      <c r="H10" s="19">
        <v>53163.188999999998</v>
      </c>
      <c r="I10" s="19">
        <v>73960.494999999995</v>
      </c>
      <c r="J10" s="19">
        <v>0</v>
      </c>
      <c r="K10" s="19">
        <v>1311646.865</v>
      </c>
      <c r="L10" s="19">
        <v>8776055.568</v>
      </c>
      <c r="M10" s="178">
        <f t="shared" si="0"/>
        <v>12602028.8081</v>
      </c>
    </row>
    <row r="11" spans="1:14" ht="15.95" customHeight="1" x14ac:dyDescent="0.2">
      <c r="A11" s="18" t="s">
        <v>112</v>
      </c>
      <c r="B11" s="168" t="s">
        <v>131</v>
      </c>
      <c r="C11" s="19">
        <v>69029.656000000003</v>
      </c>
      <c r="D11" s="19">
        <v>89407.072337481586</v>
      </c>
      <c r="E11" s="19">
        <v>28948.87</v>
      </c>
      <c r="F11" s="19">
        <v>117609.33</v>
      </c>
      <c r="G11" s="19">
        <v>0</v>
      </c>
      <c r="H11" s="19">
        <v>0</v>
      </c>
      <c r="I11" s="19">
        <v>0</v>
      </c>
      <c r="J11" s="19">
        <v>0</v>
      </c>
      <c r="K11" s="19">
        <v>391653.951</v>
      </c>
      <c r="L11" s="19">
        <v>2344004.733</v>
      </c>
      <c r="M11" s="178">
        <f t="shared" si="0"/>
        <v>3040653.6123374817</v>
      </c>
    </row>
    <row r="12" spans="1:14" ht="15.95" customHeight="1" x14ac:dyDescent="0.2">
      <c r="A12" s="18" t="s">
        <v>113</v>
      </c>
      <c r="B12" s="168" t="s">
        <v>132</v>
      </c>
      <c r="C12" s="19">
        <v>106876.677</v>
      </c>
      <c r="D12" s="19">
        <v>85750.498000000007</v>
      </c>
      <c r="E12" s="19">
        <v>0</v>
      </c>
      <c r="F12" s="19">
        <v>0</v>
      </c>
      <c r="G12" s="19">
        <v>0</v>
      </c>
      <c r="H12" s="19">
        <v>0</v>
      </c>
      <c r="I12" s="19">
        <v>273098.71100000001</v>
      </c>
      <c r="J12" s="19">
        <v>0</v>
      </c>
      <c r="K12" s="19">
        <v>0</v>
      </c>
      <c r="L12" s="19">
        <v>3428422.5</v>
      </c>
      <c r="M12" s="178">
        <f t="shared" si="0"/>
        <v>3894148.3859999999</v>
      </c>
    </row>
    <row r="13" spans="1:14" ht="15.95" customHeight="1" x14ac:dyDescent="0.2">
      <c r="A13" s="18" t="s">
        <v>114</v>
      </c>
      <c r="B13" s="168" t="s">
        <v>132</v>
      </c>
      <c r="C13" s="19">
        <v>194171.704</v>
      </c>
      <c r="D13" s="19">
        <v>0</v>
      </c>
      <c r="E13" s="19">
        <v>0</v>
      </c>
      <c r="F13" s="19">
        <v>959196.277</v>
      </c>
      <c r="G13" s="19">
        <v>0</v>
      </c>
      <c r="H13" s="19">
        <v>0</v>
      </c>
      <c r="I13" s="19">
        <v>0</v>
      </c>
      <c r="J13" s="19">
        <v>0</v>
      </c>
      <c r="K13" s="19">
        <v>2694.2280000000001</v>
      </c>
      <c r="L13" s="19">
        <v>8558852.3039999995</v>
      </c>
      <c r="M13" s="178">
        <f t="shared" si="0"/>
        <v>9714914.5130000003</v>
      </c>
    </row>
    <row r="14" spans="1:14" ht="15.95" customHeight="1" x14ac:dyDescent="0.2">
      <c r="A14" s="18" t="s">
        <v>102</v>
      </c>
      <c r="B14" s="168" t="s">
        <v>133</v>
      </c>
      <c r="C14" s="19">
        <v>0</v>
      </c>
      <c r="D14" s="19">
        <v>280523.42962000001</v>
      </c>
      <c r="E14" s="19">
        <v>0</v>
      </c>
      <c r="F14" s="19">
        <v>5623885.4069999997</v>
      </c>
      <c r="G14" s="19">
        <v>0</v>
      </c>
      <c r="H14" s="19">
        <v>0</v>
      </c>
      <c r="I14" s="19">
        <v>0</v>
      </c>
      <c r="J14" s="19">
        <v>0</v>
      </c>
      <c r="K14" s="19">
        <v>6793236.5060000001</v>
      </c>
      <c r="L14" s="19">
        <v>8144507.2379999999</v>
      </c>
      <c r="M14" s="178">
        <f t="shared" si="0"/>
        <v>20842152.580619998</v>
      </c>
    </row>
    <row r="15" spans="1:14" ht="15.95" customHeight="1" x14ac:dyDescent="0.2">
      <c r="A15" s="18" t="s">
        <v>24</v>
      </c>
      <c r="B15" s="168" t="s">
        <v>133</v>
      </c>
      <c r="C15" s="19">
        <v>5.0000000000000001E-3</v>
      </c>
      <c r="D15" s="19">
        <v>110086.414</v>
      </c>
      <c r="E15" s="19">
        <v>0</v>
      </c>
      <c r="F15" s="19">
        <v>412237.83500000002</v>
      </c>
      <c r="G15" s="19">
        <v>0</v>
      </c>
      <c r="H15" s="19">
        <v>0</v>
      </c>
      <c r="I15" s="19">
        <v>113456.86599999999</v>
      </c>
      <c r="J15" s="19">
        <v>0</v>
      </c>
      <c r="K15" s="19">
        <v>716617.94499999995</v>
      </c>
      <c r="L15" s="19">
        <v>4697876.2489999998</v>
      </c>
      <c r="M15" s="178">
        <f t="shared" si="0"/>
        <v>6050275.3139999993</v>
      </c>
    </row>
    <row r="16" spans="1:14" ht="15.95" customHeight="1" x14ac:dyDescent="0.2">
      <c r="A16" s="18" t="s">
        <v>103</v>
      </c>
      <c r="B16" s="168" t="s">
        <v>134</v>
      </c>
      <c r="C16" s="19">
        <v>221568.64600000001</v>
      </c>
      <c r="D16" s="19">
        <v>35780.741001893584</v>
      </c>
      <c r="E16" s="19">
        <v>633.95065999999997</v>
      </c>
      <c r="F16" s="19">
        <v>284520.35499999998</v>
      </c>
      <c r="G16" s="19">
        <v>3914.5050000000001</v>
      </c>
      <c r="H16" s="19">
        <v>55304.571000000004</v>
      </c>
      <c r="I16" s="19">
        <v>23744.876</v>
      </c>
      <c r="J16" s="19">
        <v>0</v>
      </c>
      <c r="K16" s="19">
        <v>999801.13899999997</v>
      </c>
      <c r="L16" s="19">
        <v>2809472.2790000001</v>
      </c>
      <c r="M16" s="178">
        <f t="shared" si="0"/>
        <v>4434741.0626618937</v>
      </c>
    </row>
    <row r="17" spans="1:13" ht="15.95" customHeight="1" x14ac:dyDescent="0.2">
      <c r="A17" s="18" t="s">
        <v>26</v>
      </c>
      <c r="B17" s="168" t="s">
        <v>134</v>
      </c>
      <c r="C17" s="19">
        <v>0</v>
      </c>
      <c r="D17" s="19">
        <v>0</v>
      </c>
      <c r="E17" s="19">
        <v>0</v>
      </c>
      <c r="F17" s="19">
        <v>2033.671</v>
      </c>
      <c r="G17" s="19">
        <v>0</v>
      </c>
      <c r="H17" s="19">
        <v>0</v>
      </c>
      <c r="I17" s="19">
        <v>0</v>
      </c>
      <c r="J17" s="19">
        <v>0</v>
      </c>
      <c r="K17" s="19">
        <v>125.816</v>
      </c>
      <c r="L17" s="19">
        <v>3477208.088</v>
      </c>
      <c r="M17" s="178">
        <f t="shared" si="0"/>
        <v>3479367.5750000002</v>
      </c>
    </row>
    <row r="18" spans="1:13" ht="15.95" customHeight="1" x14ac:dyDescent="0.2">
      <c r="A18" s="18" t="s">
        <v>104</v>
      </c>
      <c r="B18" s="168" t="s">
        <v>134</v>
      </c>
      <c r="C18" s="19">
        <v>51464.014999999999</v>
      </c>
      <c r="D18" s="19">
        <v>16473.163</v>
      </c>
      <c r="E18" s="19">
        <v>12.608700000000001</v>
      </c>
      <c r="F18" s="19">
        <v>9658.1129999999994</v>
      </c>
      <c r="G18" s="19">
        <v>30.559000000000001</v>
      </c>
      <c r="H18" s="19">
        <v>53697.737000000001</v>
      </c>
      <c r="I18" s="19">
        <v>805.077</v>
      </c>
      <c r="J18" s="19">
        <v>87.219059999999999</v>
      </c>
      <c r="K18" s="19">
        <v>78058.842999999993</v>
      </c>
      <c r="L18" s="19">
        <v>55250.53</v>
      </c>
      <c r="M18" s="178">
        <f t="shared" si="0"/>
        <v>265537.86475999997</v>
      </c>
    </row>
    <row r="19" spans="1:13" ht="15.95" customHeight="1" x14ac:dyDescent="0.2">
      <c r="A19" s="18" t="s">
        <v>28</v>
      </c>
      <c r="B19" s="168" t="s">
        <v>134</v>
      </c>
      <c r="C19" s="19">
        <v>0</v>
      </c>
      <c r="D19" s="19">
        <v>0</v>
      </c>
      <c r="E19" s="19">
        <v>0</v>
      </c>
      <c r="F19" s="19">
        <v>182820.70199999999</v>
      </c>
      <c r="G19" s="19">
        <v>0</v>
      </c>
      <c r="H19" s="19">
        <v>0</v>
      </c>
      <c r="I19" s="19">
        <v>0</v>
      </c>
      <c r="J19" s="19">
        <v>0</v>
      </c>
      <c r="K19" s="19">
        <v>265535.27600000001</v>
      </c>
      <c r="L19" s="19">
        <v>145875.88200000001</v>
      </c>
      <c r="M19" s="178">
        <f t="shared" si="0"/>
        <v>594231.86</v>
      </c>
    </row>
    <row r="20" spans="1:13" ht="15.95" customHeight="1" x14ac:dyDescent="0.2">
      <c r="A20" s="18" t="s">
        <v>29</v>
      </c>
      <c r="B20" s="168" t="s">
        <v>134</v>
      </c>
      <c r="C20" s="19">
        <v>15097.983</v>
      </c>
      <c r="D20" s="19">
        <v>0</v>
      </c>
      <c r="E20" s="19">
        <v>0</v>
      </c>
      <c r="F20" s="19">
        <v>177.935</v>
      </c>
      <c r="G20" s="19">
        <v>224.12799999999999</v>
      </c>
      <c r="H20" s="19">
        <v>0</v>
      </c>
      <c r="I20" s="19">
        <v>0</v>
      </c>
      <c r="J20" s="19">
        <v>0</v>
      </c>
      <c r="K20" s="19">
        <v>0</v>
      </c>
      <c r="L20" s="19">
        <v>15833.535</v>
      </c>
      <c r="M20" s="178">
        <f t="shared" si="0"/>
        <v>31333.580999999998</v>
      </c>
    </row>
    <row r="21" spans="1:13" ht="15.95" customHeight="1" x14ac:dyDescent="0.2">
      <c r="A21" s="18" t="s">
        <v>105</v>
      </c>
      <c r="B21" s="168" t="s">
        <v>134</v>
      </c>
      <c r="C21" s="19">
        <v>0</v>
      </c>
      <c r="D21" s="19">
        <v>169.59999810641997</v>
      </c>
      <c r="E21" s="19">
        <v>0</v>
      </c>
      <c r="F21" s="19">
        <v>17448.205000000002</v>
      </c>
      <c r="G21" s="19">
        <v>0</v>
      </c>
      <c r="H21" s="19">
        <v>0</v>
      </c>
      <c r="I21" s="19">
        <v>0</v>
      </c>
      <c r="J21" s="19">
        <v>0</v>
      </c>
      <c r="K21" s="19">
        <v>1082.085</v>
      </c>
      <c r="L21" s="19">
        <v>43910.394</v>
      </c>
      <c r="M21" s="178">
        <f t="shared" si="0"/>
        <v>62610.283998106417</v>
      </c>
    </row>
    <row r="22" spans="1:13" ht="15.95" customHeight="1" x14ac:dyDescent="0.2">
      <c r="A22" s="18" t="s">
        <v>106</v>
      </c>
      <c r="B22" s="168" t="s">
        <v>134</v>
      </c>
      <c r="C22" s="19">
        <v>0</v>
      </c>
      <c r="D22" s="19">
        <v>25279.882001893562</v>
      </c>
      <c r="E22" s="19">
        <v>0</v>
      </c>
      <c r="F22" s="19">
        <v>38015.601999999999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78">
        <f t="shared" si="0"/>
        <v>63295.484001893565</v>
      </c>
    </row>
    <row r="23" spans="1:13" ht="15.95" customHeight="1" x14ac:dyDescent="0.2">
      <c r="A23" s="18" t="s">
        <v>115</v>
      </c>
      <c r="B23" s="168" t="s">
        <v>134</v>
      </c>
      <c r="C23" s="19">
        <v>0</v>
      </c>
      <c r="D23" s="19">
        <v>42000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78">
        <f t="shared" si="0"/>
        <v>42000</v>
      </c>
    </row>
    <row r="24" spans="1:13" ht="15.95" customHeight="1" x14ac:dyDescent="0.2">
      <c r="A24" s="18" t="s">
        <v>32</v>
      </c>
      <c r="B24" s="168" t="s">
        <v>135</v>
      </c>
      <c r="C24" s="19">
        <v>20</v>
      </c>
      <c r="D24" s="19">
        <v>13.412000000000001</v>
      </c>
      <c r="E24" s="19">
        <v>0</v>
      </c>
      <c r="F24" s="19">
        <v>7.74</v>
      </c>
      <c r="G24" s="19">
        <v>0.44400000000000001</v>
      </c>
      <c r="H24" s="19">
        <v>0</v>
      </c>
      <c r="I24" s="19">
        <v>570.98900000000003</v>
      </c>
      <c r="J24" s="19">
        <v>3</v>
      </c>
      <c r="K24" s="19">
        <v>2836.7220000000002</v>
      </c>
      <c r="L24" s="19">
        <v>46.5</v>
      </c>
      <c r="M24" s="178">
        <f t="shared" si="0"/>
        <v>3498.8070000000002</v>
      </c>
    </row>
    <row r="25" spans="1:13" ht="15.95" customHeight="1" x14ac:dyDescent="0.2">
      <c r="A25" s="18" t="s">
        <v>107</v>
      </c>
      <c r="B25" s="168" t="s">
        <v>135</v>
      </c>
      <c r="C25" s="19">
        <v>916071.36399999994</v>
      </c>
      <c r="D25" s="19">
        <v>127114.16800000001</v>
      </c>
      <c r="E25" s="19">
        <v>7013.9538700000003</v>
      </c>
      <c r="F25" s="19">
        <v>25427.451000000001</v>
      </c>
      <c r="G25" s="19">
        <v>16801.400000000001</v>
      </c>
      <c r="H25" s="19">
        <v>113898.808</v>
      </c>
      <c r="I25" s="19">
        <v>105455.47199999999</v>
      </c>
      <c r="J25" s="19">
        <v>1539.39636</v>
      </c>
      <c r="K25" s="19">
        <v>227900.71799999999</v>
      </c>
      <c r="L25" s="19">
        <v>1501419.834</v>
      </c>
      <c r="M25" s="178">
        <f t="shared" si="0"/>
        <v>3042642.5652299998</v>
      </c>
    </row>
    <row r="26" spans="1:13" ht="15.95" customHeight="1" x14ac:dyDescent="0.2">
      <c r="A26" s="18" t="s">
        <v>34</v>
      </c>
      <c r="B26" s="168" t="s">
        <v>135</v>
      </c>
      <c r="C26" s="19">
        <v>25000</v>
      </c>
      <c r="D26" s="19">
        <v>3301.837</v>
      </c>
      <c r="E26" s="19">
        <v>10000</v>
      </c>
      <c r="F26" s="19">
        <v>122419.15300000001</v>
      </c>
      <c r="G26" s="19">
        <v>13306.7</v>
      </c>
      <c r="H26" s="19">
        <v>50140</v>
      </c>
      <c r="I26" s="19">
        <v>0</v>
      </c>
      <c r="J26" s="19">
        <v>4050</v>
      </c>
      <c r="K26" s="19">
        <v>537864.45600000001</v>
      </c>
      <c r="L26" s="19">
        <v>1161798.406</v>
      </c>
      <c r="M26" s="178">
        <f t="shared" si="0"/>
        <v>1927880.5519999999</v>
      </c>
    </row>
    <row r="27" spans="1:13" ht="15.95" customHeight="1" x14ac:dyDescent="0.2">
      <c r="A27" s="18" t="s">
        <v>108</v>
      </c>
      <c r="B27" s="168" t="s">
        <v>135</v>
      </c>
      <c r="C27" s="19">
        <v>0</v>
      </c>
      <c r="D27" s="19">
        <v>0</v>
      </c>
      <c r="E27" s="19">
        <v>4568.75</v>
      </c>
      <c r="F27" s="19">
        <v>0</v>
      </c>
      <c r="G27" s="19">
        <v>0</v>
      </c>
      <c r="H27" s="19">
        <v>10000</v>
      </c>
      <c r="I27" s="19">
        <v>0</v>
      </c>
      <c r="J27" s="19">
        <v>44105.284764827265</v>
      </c>
      <c r="K27" s="19">
        <v>85141.036999999997</v>
      </c>
      <c r="L27" s="19">
        <v>652948.07499999995</v>
      </c>
      <c r="M27" s="178">
        <f t="shared" si="0"/>
        <v>796763.14676482719</v>
      </c>
    </row>
    <row r="28" spans="1:13" ht="15.95" customHeight="1" x14ac:dyDescent="0.2">
      <c r="A28" s="18" t="s">
        <v>109</v>
      </c>
      <c r="B28" s="168" t="s">
        <v>134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4130.1289999999999</v>
      </c>
      <c r="J28" s="19">
        <v>0</v>
      </c>
      <c r="K28" s="19">
        <v>0</v>
      </c>
      <c r="L28" s="19">
        <v>500927.52399999998</v>
      </c>
      <c r="M28" s="178">
        <f t="shared" si="0"/>
        <v>505057.65299999999</v>
      </c>
    </row>
    <row r="29" spans="1:13" ht="15.95" customHeight="1" x14ac:dyDescent="0.2">
      <c r="A29" s="18" t="s">
        <v>116</v>
      </c>
      <c r="B29" s="168" t="s">
        <v>134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213.30600000000001</v>
      </c>
      <c r="J29" s="19">
        <v>0</v>
      </c>
      <c r="K29" s="19">
        <v>0</v>
      </c>
      <c r="L29" s="19">
        <v>938.101</v>
      </c>
      <c r="M29" s="178">
        <f t="shared" si="0"/>
        <v>1151.4069999999999</v>
      </c>
    </row>
    <row r="30" spans="1:13" ht="15.95" customHeight="1" x14ac:dyDescent="0.2">
      <c r="A30" s="18" t="s">
        <v>117</v>
      </c>
      <c r="B30" s="168" t="s">
        <v>134</v>
      </c>
      <c r="C30" s="19">
        <v>19023.269</v>
      </c>
      <c r="D30" s="19">
        <v>0</v>
      </c>
      <c r="E30" s="19">
        <v>94.936089999999993</v>
      </c>
      <c r="F30" s="19">
        <v>37282.156999999999</v>
      </c>
      <c r="G30" s="19">
        <v>219.066</v>
      </c>
      <c r="H30" s="19">
        <v>20778.931</v>
      </c>
      <c r="I30" s="19">
        <v>394.33100000000002</v>
      </c>
      <c r="J30" s="19">
        <v>0</v>
      </c>
      <c r="K30" s="19">
        <v>29096.014999999999</v>
      </c>
      <c r="L30" s="19">
        <v>4541.2960000000003</v>
      </c>
      <c r="M30" s="178">
        <f t="shared" si="0"/>
        <v>111430.00109000001</v>
      </c>
    </row>
    <row r="31" spans="1:13" ht="15.95" customHeight="1" x14ac:dyDescent="0.2">
      <c r="A31" s="18" t="s">
        <v>110</v>
      </c>
      <c r="B31" s="168" t="s">
        <v>134</v>
      </c>
      <c r="C31" s="19">
        <v>0</v>
      </c>
      <c r="D31" s="19">
        <v>8337.0540000000001</v>
      </c>
      <c r="E31" s="19">
        <v>0</v>
      </c>
      <c r="F31" s="19">
        <v>0</v>
      </c>
      <c r="G31" s="19">
        <v>0</v>
      </c>
      <c r="H31" s="19">
        <v>0</v>
      </c>
      <c r="I31" s="19">
        <v>13124.921</v>
      </c>
      <c r="J31" s="19">
        <v>0</v>
      </c>
      <c r="K31" s="19">
        <v>159526.95499999999</v>
      </c>
      <c r="L31" s="19">
        <v>7021.3019999999997</v>
      </c>
      <c r="M31" s="178">
        <f t="shared" si="0"/>
        <v>188010.23199999999</v>
      </c>
    </row>
    <row r="32" spans="1:13" ht="15.95" customHeight="1" x14ac:dyDescent="0.2">
      <c r="A32" s="18" t="s">
        <v>37</v>
      </c>
      <c r="B32" s="168" t="s">
        <v>134</v>
      </c>
      <c r="C32" s="19">
        <v>32510.054</v>
      </c>
      <c r="D32" s="19">
        <v>5141.473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207313.20499999999</v>
      </c>
      <c r="L32" s="19">
        <v>184902.236</v>
      </c>
      <c r="M32" s="178">
        <f t="shared" si="0"/>
        <v>429866.96799999999</v>
      </c>
    </row>
    <row r="33" spans="1:13" ht="15.95" customHeight="1" x14ac:dyDescent="0.2">
      <c r="A33" s="18" t="s">
        <v>40</v>
      </c>
      <c r="B33" s="168" t="s">
        <v>134</v>
      </c>
      <c r="C33" s="19">
        <v>174762.05600000001</v>
      </c>
      <c r="D33" s="19">
        <v>22691.022978106434</v>
      </c>
      <c r="E33" s="19">
        <v>0</v>
      </c>
      <c r="F33" s="19">
        <v>14966.773999999999</v>
      </c>
      <c r="G33" s="19">
        <v>2906.1550000000002</v>
      </c>
      <c r="H33" s="19">
        <v>72378.432000000001</v>
      </c>
      <c r="I33" s="19">
        <v>26447.967000000001</v>
      </c>
      <c r="J33" s="19">
        <v>3783.28685</v>
      </c>
      <c r="K33" s="19">
        <v>255.29900000000001</v>
      </c>
      <c r="L33" s="19">
        <v>335672.5</v>
      </c>
      <c r="M33" s="178">
        <f t="shared" si="0"/>
        <v>653863.49282810639</v>
      </c>
    </row>
    <row r="34" spans="1:13" ht="15.95" customHeight="1" x14ac:dyDescent="0.2">
      <c r="A34" s="18" t="s">
        <v>41</v>
      </c>
      <c r="B34" s="168" t="s">
        <v>41</v>
      </c>
      <c r="C34" s="19">
        <v>395.56200000000001</v>
      </c>
      <c r="D34" s="19">
        <v>0</v>
      </c>
      <c r="E34" s="19">
        <v>2245.2891600000003</v>
      </c>
      <c r="F34" s="19">
        <v>7943.4979999999996</v>
      </c>
      <c r="G34" s="19">
        <v>0</v>
      </c>
      <c r="H34" s="19">
        <v>0</v>
      </c>
      <c r="I34" s="19">
        <v>0</v>
      </c>
      <c r="J34" s="19">
        <v>228.023</v>
      </c>
      <c r="K34" s="19">
        <v>193870.527</v>
      </c>
      <c r="L34" s="19">
        <v>53237.760999999999</v>
      </c>
      <c r="M34" s="178">
        <f t="shared" si="0"/>
        <v>257920.66016</v>
      </c>
    </row>
    <row r="35" spans="1:13" ht="5.25" customHeight="1" x14ac:dyDescent="0.2">
      <c r="A35" s="20"/>
      <c r="B35" s="20"/>
      <c r="C35" s="20"/>
      <c r="D35" s="20"/>
      <c r="E35" s="20"/>
      <c r="F35" s="20"/>
      <c r="G35" s="166"/>
      <c r="H35" s="20"/>
      <c r="I35" s="20"/>
      <c r="J35" s="20"/>
      <c r="K35" s="20"/>
      <c r="L35" s="20"/>
      <c r="M35" s="20"/>
    </row>
    <row r="36" spans="1:13" ht="17.100000000000001" customHeight="1" x14ac:dyDescent="0.2">
      <c r="A36" s="21" t="s">
        <v>13</v>
      </c>
      <c r="B36" s="21"/>
      <c r="C36" s="22">
        <f t="shared" ref="C36:H36" si="1">SUM(C5:C34)</f>
        <v>4190025.1949999998</v>
      </c>
      <c r="D36" s="22">
        <f t="shared" si="1"/>
        <v>1242174.1320374818</v>
      </c>
      <c r="E36" s="22">
        <f t="shared" si="1"/>
        <v>54618.36148</v>
      </c>
      <c r="F36" s="22">
        <f t="shared" si="1"/>
        <v>10298474.426000001</v>
      </c>
      <c r="G36" s="22">
        <f t="shared" si="1"/>
        <v>39550.867000000006</v>
      </c>
      <c r="H36" s="22">
        <f t="shared" si="1"/>
        <v>4381685.2759999996</v>
      </c>
      <c r="I36" s="22">
        <f>SUM(I5:I34)</f>
        <v>637438.2579999998</v>
      </c>
      <c r="J36" s="22">
        <f>SUM(J5:J34)</f>
        <v>56712.969159756387</v>
      </c>
      <c r="K36" s="22">
        <f>SUM(K5:K34)</f>
        <v>18545821.936999995</v>
      </c>
      <c r="L36" s="22">
        <f>SUM(L5:L34)</f>
        <v>48109134.303999998</v>
      </c>
      <c r="M36" s="22">
        <f>SUM(M5:M34)</f>
        <v>87555635.725677207</v>
      </c>
    </row>
    <row r="37" spans="1:13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">
      <c r="A38" s="23" t="s">
        <v>111</v>
      </c>
      <c r="B38" s="23"/>
      <c r="C38" s="23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x14ac:dyDescent="0.2">
      <c r="A39" s="23" t="s">
        <v>142</v>
      </c>
      <c r="B39" s="23"/>
      <c r="C39" s="23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x14ac:dyDescent="0.2">
      <c r="A40" s="27" t="s">
        <v>123</v>
      </c>
      <c r="B40" s="27"/>
      <c r="C40" s="27"/>
      <c r="D40" s="19"/>
    </row>
    <row r="41" spans="1:13" x14ac:dyDescent="0.2">
      <c r="A41" s="28"/>
      <c r="B41" s="28"/>
      <c r="C41" s="28"/>
    </row>
  </sheetData>
  <mergeCells count="3">
    <mergeCell ref="A1:M1"/>
    <mergeCell ref="A2:M2"/>
    <mergeCell ref="A3:M3"/>
  </mergeCells>
  <pageMargins left="0.7" right="0.7" top="0.75" bottom="0.75" header="0.3" footer="0.3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Normal="100" workbookViewId="0">
      <pane xSplit="1" ySplit="4" topLeftCell="C5" activePane="bottomRight" state="frozen"/>
      <selection activeCell="E13" sqref="E13"/>
      <selection pane="topRight" activeCell="E13" sqref="E13"/>
      <selection pane="bottomLeft" activeCell="E13" sqref="E13"/>
      <selection pane="bottomRight" activeCell="G5" sqref="G5"/>
    </sheetView>
  </sheetViews>
  <sheetFormatPr defaultRowHeight="12.75" x14ac:dyDescent="0.2"/>
  <cols>
    <col min="1" max="1" width="30.7109375" style="16" customWidth="1"/>
    <col min="2" max="2" width="22.42578125" style="16" hidden="1" customWidth="1"/>
    <col min="3" max="8" width="15.7109375" style="16" customWidth="1"/>
    <col min="9" max="9" width="19.85546875" style="16" customWidth="1"/>
    <col min="10" max="13" width="15.7109375" style="16" customWidth="1"/>
  </cols>
  <sheetData>
    <row r="1" spans="1:13" s="29" customFormat="1" ht="14.1" customHeight="1" x14ac:dyDescent="0.25">
      <c r="A1" s="182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s="29" customFormat="1" ht="14.1" customHeight="1" x14ac:dyDescent="0.25">
      <c r="A2" s="182" t="s">
        <v>138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4.1" customHeight="1" x14ac:dyDescent="0.2">
      <c r="A3" s="183" t="s">
        <v>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3" ht="52.5" customHeight="1" x14ac:dyDescent="0.2">
      <c r="A4" s="17"/>
      <c r="B4" s="17"/>
      <c r="C4" s="17" t="s">
        <v>139</v>
      </c>
      <c r="D4" s="17" t="s">
        <v>93</v>
      </c>
      <c r="E4" s="17" t="s">
        <v>125</v>
      </c>
      <c r="F4" s="17" t="s">
        <v>6</v>
      </c>
      <c r="G4" s="17" t="s">
        <v>126</v>
      </c>
      <c r="H4" s="17" t="s">
        <v>8</v>
      </c>
      <c r="I4" s="17" t="s">
        <v>141</v>
      </c>
      <c r="J4" s="17" t="s">
        <v>127</v>
      </c>
      <c r="K4" s="17" t="s">
        <v>97</v>
      </c>
      <c r="L4" s="17" t="s">
        <v>122</v>
      </c>
      <c r="M4" s="17" t="s">
        <v>13</v>
      </c>
    </row>
    <row r="5" spans="1:13" ht="15.95" customHeight="1" x14ac:dyDescent="0.2">
      <c r="A5" s="18" t="s">
        <v>14</v>
      </c>
      <c r="B5" s="168" t="s">
        <v>41</v>
      </c>
      <c r="C5" s="19">
        <v>6054.317</v>
      </c>
      <c r="D5" s="19">
        <v>1354.7249999999999</v>
      </c>
      <c r="E5" s="19">
        <v>1E-3</v>
      </c>
      <c r="F5" s="19">
        <v>8715.7939999999999</v>
      </c>
      <c r="G5" s="19">
        <v>0</v>
      </c>
      <c r="H5" s="19">
        <v>0</v>
      </c>
      <c r="I5" s="19">
        <v>728.47699999999998</v>
      </c>
      <c r="J5" s="19">
        <v>0</v>
      </c>
      <c r="K5" s="19">
        <v>21383.441999999999</v>
      </c>
      <c r="L5" s="19">
        <v>11259.525</v>
      </c>
      <c r="M5" s="178">
        <f>SUM(C5:L5)</f>
        <v>49496.280999999995</v>
      </c>
    </row>
    <row r="6" spans="1:13" ht="15.95" customHeight="1" x14ac:dyDescent="0.2">
      <c r="A6" s="18" t="s">
        <v>15</v>
      </c>
      <c r="B6" s="168" t="s">
        <v>130</v>
      </c>
      <c r="C6" s="19">
        <v>401200</v>
      </c>
      <c r="D6" s="19">
        <v>34467.205000000002</v>
      </c>
      <c r="E6" s="19">
        <v>0</v>
      </c>
      <c r="F6" s="19">
        <v>54720</v>
      </c>
      <c r="G6" s="19">
        <v>740</v>
      </c>
      <c r="H6" s="19">
        <v>74863</v>
      </c>
      <c r="I6" s="19">
        <v>0</v>
      </c>
      <c r="J6" s="19">
        <v>2640</v>
      </c>
      <c r="K6" s="19">
        <v>254704.095</v>
      </c>
      <c r="L6" s="19">
        <v>207999.15599999999</v>
      </c>
      <c r="M6" s="178">
        <f t="shared" ref="M6:M34" si="0">SUM(C6:L6)</f>
        <v>1031333.456</v>
      </c>
    </row>
    <row r="7" spans="1:13" ht="15.95" customHeight="1" x14ac:dyDescent="0.2">
      <c r="A7" s="18" t="s">
        <v>16</v>
      </c>
      <c r="B7" s="168" t="s">
        <v>130</v>
      </c>
      <c r="C7" s="19">
        <v>1940900</v>
      </c>
      <c r="D7" s="19">
        <v>167557.856</v>
      </c>
      <c r="E7" s="19">
        <v>1100</v>
      </c>
      <c r="F7" s="19">
        <v>129253.053</v>
      </c>
      <c r="G7" s="19">
        <v>0.31</v>
      </c>
      <c r="H7" s="19">
        <v>382500</v>
      </c>
      <c r="I7" s="19">
        <v>0</v>
      </c>
      <c r="J7" s="19">
        <v>0</v>
      </c>
      <c r="K7" s="19">
        <v>1404100</v>
      </c>
      <c r="L7" s="19">
        <v>395960.16899999999</v>
      </c>
      <c r="M7" s="178">
        <f t="shared" si="0"/>
        <v>4421371.3880000003</v>
      </c>
    </row>
    <row r="8" spans="1:13" ht="15.95" customHeight="1" x14ac:dyDescent="0.2">
      <c r="A8" s="18" t="s">
        <v>17</v>
      </c>
      <c r="B8" s="168" t="s">
        <v>130</v>
      </c>
      <c r="C8" s="19">
        <v>6279.7510000000002</v>
      </c>
      <c r="D8" s="19">
        <v>9980.2379999999994</v>
      </c>
      <c r="E8" s="19">
        <v>2E-3</v>
      </c>
      <c r="F8" s="19">
        <v>35841.175999999999</v>
      </c>
      <c r="G8" s="19">
        <v>0</v>
      </c>
      <c r="H8" s="19">
        <v>4682.5389999999998</v>
      </c>
      <c r="I8" s="19">
        <v>404.02300000000002</v>
      </c>
      <c r="J8" s="19">
        <v>378.04778999999996</v>
      </c>
      <c r="K8" s="19">
        <v>36542.74</v>
      </c>
      <c r="L8" s="19">
        <v>53615.964999999997</v>
      </c>
      <c r="M8" s="178">
        <f t="shared" si="0"/>
        <v>147724.48178999999</v>
      </c>
    </row>
    <row r="9" spans="1:13" ht="15.95" customHeight="1" x14ac:dyDescent="0.2">
      <c r="A9" s="18" t="s">
        <v>18</v>
      </c>
      <c r="B9" s="168" t="s">
        <v>18</v>
      </c>
      <c r="C9" s="19">
        <v>0.10100000000000001</v>
      </c>
      <c r="D9" s="19">
        <v>6017.835</v>
      </c>
      <c r="E9" s="19">
        <v>0</v>
      </c>
      <c r="F9" s="19">
        <v>75</v>
      </c>
      <c r="G9" s="19">
        <v>0</v>
      </c>
      <c r="H9" s="19">
        <v>3402357.1439999999</v>
      </c>
      <c r="I9" s="19">
        <v>0</v>
      </c>
      <c r="J9" s="19">
        <v>0</v>
      </c>
      <c r="K9" s="19">
        <v>4168619.7489999998</v>
      </c>
      <c r="L9" s="19">
        <v>552875.61300000001</v>
      </c>
      <c r="M9" s="178">
        <f t="shared" si="0"/>
        <v>8129945.4419999998</v>
      </c>
    </row>
    <row r="10" spans="1:13" ht="15.95" customHeight="1" x14ac:dyDescent="0.2">
      <c r="A10" s="18" t="s">
        <v>19</v>
      </c>
      <c r="B10" s="168" t="s">
        <v>131</v>
      </c>
      <c r="C10" s="19">
        <v>9432.8649999999998</v>
      </c>
      <c r="D10" s="19">
        <v>223987.8321</v>
      </c>
      <c r="E10" s="19">
        <v>0</v>
      </c>
      <c r="F10" s="19">
        <v>2521681.4610000001</v>
      </c>
      <c r="G10" s="19">
        <v>650</v>
      </c>
      <c r="H10" s="19">
        <v>78828.479999999996</v>
      </c>
      <c r="I10" s="19">
        <v>117603.81155999999</v>
      </c>
      <c r="J10" s="19">
        <v>0</v>
      </c>
      <c r="K10" s="19">
        <v>1476784.868</v>
      </c>
      <c r="L10" s="19">
        <v>12118872.302999999</v>
      </c>
      <c r="M10" s="178">
        <f t="shared" si="0"/>
        <v>16547841.62066</v>
      </c>
    </row>
    <row r="11" spans="1:13" ht="15.95" customHeight="1" x14ac:dyDescent="0.2">
      <c r="A11" s="18" t="s">
        <v>112</v>
      </c>
      <c r="B11" s="168" t="s">
        <v>131</v>
      </c>
      <c r="C11" s="19">
        <v>64510.81</v>
      </c>
      <c r="D11" s="19">
        <v>111721.28200000001</v>
      </c>
      <c r="E11" s="19">
        <v>26856.898000000001</v>
      </c>
      <c r="F11" s="19">
        <v>116891.327</v>
      </c>
      <c r="G11" s="19">
        <v>0</v>
      </c>
      <c r="H11" s="19">
        <v>0</v>
      </c>
      <c r="I11" s="19">
        <v>0</v>
      </c>
      <c r="J11" s="19">
        <v>0</v>
      </c>
      <c r="K11" s="19">
        <v>402126.87900000002</v>
      </c>
      <c r="L11" s="19">
        <v>1166430.6229999999</v>
      </c>
      <c r="M11" s="178">
        <f t="shared" si="0"/>
        <v>1888537.8189999999</v>
      </c>
    </row>
    <row r="12" spans="1:13" ht="15.95" customHeight="1" x14ac:dyDescent="0.2">
      <c r="A12" s="18" t="s">
        <v>113</v>
      </c>
      <c r="B12" s="168" t="s">
        <v>132</v>
      </c>
      <c r="C12" s="19">
        <v>89835.423999999999</v>
      </c>
      <c r="D12" s="19">
        <v>60735.142</v>
      </c>
      <c r="E12" s="19">
        <v>0</v>
      </c>
      <c r="F12" s="19">
        <v>0</v>
      </c>
      <c r="G12" s="19">
        <v>0</v>
      </c>
      <c r="H12" s="19">
        <v>0</v>
      </c>
      <c r="I12" s="19">
        <v>126548.03153000001</v>
      </c>
      <c r="J12" s="19">
        <v>0</v>
      </c>
      <c r="K12" s="19">
        <v>0</v>
      </c>
      <c r="L12" s="19">
        <v>2092023.949</v>
      </c>
      <c r="M12" s="178">
        <f t="shared" si="0"/>
        <v>2369142.5465299999</v>
      </c>
    </row>
    <row r="13" spans="1:13" ht="15.95" customHeight="1" x14ac:dyDescent="0.2">
      <c r="A13" s="18" t="s">
        <v>114</v>
      </c>
      <c r="B13" s="168" t="s">
        <v>132</v>
      </c>
      <c r="C13" s="19">
        <v>222606.23499999999</v>
      </c>
      <c r="D13" s="19">
        <v>0</v>
      </c>
      <c r="E13" s="19">
        <v>0</v>
      </c>
      <c r="F13" s="19">
        <v>619148.36300000001</v>
      </c>
      <c r="G13" s="19">
        <v>0</v>
      </c>
      <c r="H13" s="19">
        <v>0</v>
      </c>
      <c r="I13" s="19">
        <v>0</v>
      </c>
      <c r="J13" s="19">
        <v>0</v>
      </c>
      <c r="K13" s="19">
        <v>1492.162</v>
      </c>
      <c r="L13" s="19">
        <v>9102259.0059999991</v>
      </c>
      <c r="M13" s="178">
        <f t="shared" si="0"/>
        <v>9945505.7659999989</v>
      </c>
    </row>
    <row r="14" spans="1:13" ht="15.95" customHeight="1" x14ac:dyDescent="0.2">
      <c r="A14" s="18" t="s">
        <v>102</v>
      </c>
      <c r="B14" s="168" t="s">
        <v>133</v>
      </c>
      <c r="C14" s="19">
        <v>0</v>
      </c>
      <c r="D14" s="19">
        <v>243976.10376799997</v>
      </c>
      <c r="E14" s="19">
        <v>0</v>
      </c>
      <c r="F14" s="19">
        <v>5328483.8130000001</v>
      </c>
      <c r="G14" s="19">
        <v>0</v>
      </c>
      <c r="H14" s="19">
        <v>0</v>
      </c>
      <c r="I14" s="19">
        <v>0</v>
      </c>
      <c r="J14" s="19">
        <v>0</v>
      </c>
      <c r="K14" s="19">
        <v>6513288.4550000001</v>
      </c>
      <c r="L14" s="19">
        <v>9604363.5669999998</v>
      </c>
      <c r="M14" s="178">
        <f t="shared" si="0"/>
        <v>21690111.938767999</v>
      </c>
    </row>
    <row r="15" spans="1:13" ht="15.95" customHeight="1" x14ac:dyDescent="0.2">
      <c r="A15" s="18" t="s">
        <v>24</v>
      </c>
      <c r="B15" s="168" t="s">
        <v>133</v>
      </c>
      <c r="C15" s="19">
        <v>5.0000000000000001E-3</v>
      </c>
      <c r="D15" s="19">
        <v>72586.881999999998</v>
      </c>
      <c r="E15" s="19">
        <v>0</v>
      </c>
      <c r="F15" s="19">
        <v>334957.08199999999</v>
      </c>
      <c r="G15" s="19">
        <v>0</v>
      </c>
      <c r="H15" s="19">
        <v>0</v>
      </c>
      <c r="I15" s="19">
        <v>154513.20551469462</v>
      </c>
      <c r="J15" s="19">
        <v>0</v>
      </c>
      <c r="K15" s="19">
        <v>597624.86600000004</v>
      </c>
      <c r="L15" s="19">
        <v>2777071.4909999999</v>
      </c>
      <c r="M15" s="178">
        <f t="shared" si="0"/>
        <v>3936753.5315146944</v>
      </c>
    </row>
    <row r="16" spans="1:13" ht="15.95" customHeight="1" x14ac:dyDescent="0.2">
      <c r="A16" s="18" t="s">
        <v>103</v>
      </c>
      <c r="B16" s="168" t="s">
        <v>134</v>
      </c>
      <c r="C16" s="19">
        <v>208666.33199999999</v>
      </c>
      <c r="D16" s="19">
        <v>61497.955999999998</v>
      </c>
      <c r="E16" s="19">
        <v>633.95100000000002</v>
      </c>
      <c r="F16" s="19">
        <v>318196.86200000002</v>
      </c>
      <c r="G16" s="19">
        <v>4967.6109999999999</v>
      </c>
      <c r="H16" s="19">
        <v>69178.942999999999</v>
      </c>
      <c r="I16" s="19">
        <v>27749.512050000001</v>
      </c>
      <c r="J16" s="19">
        <v>0</v>
      </c>
      <c r="K16" s="19">
        <v>1051294.662</v>
      </c>
      <c r="L16" s="19">
        <v>2931052.4569999999</v>
      </c>
      <c r="M16" s="178">
        <f t="shared" si="0"/>
        <v>4673238.2860500002</v>
      </c>
    </row>
    <row r="17" spans="1:13" ht="15.95" customHeight="1" x14ac:dyDescent="0.2">
      <c r="A17" s="18" t="s">
        <v>26</v>
      </c>
      <c r="B17" s="168" t="s">
        <v>134</v>
      </c>
      <c r="C17" s="19">
        <v>0</v>
      </c>
      <c r="D17" s="19">
        <v>0</v>
      </c>
      <c r="E17" s="19">
        <v>0</v>
      </c>
      <c r="F17" s="19">
        <v>5165.598</v>
      </c>
      <c r="G17" s="19">
        <v>0</v>
      </c>
      <c r="H17" s="19">
        <v>0</v>
      </c>
      <c r="I17" s="19">
        <v>0</v>
      </c>
      <c r="J17" s="19">
        <v>0</v>
      </c>
      <c r="K17" s="19">
        <v>257.83800000000002</v>
      </c>
      <c r="L17" s="19">
        <v>1404996.11</v>
      </c>
      <c r="M17" s="178">
        <f t="shared" si="0"/>
        <v>1410419.5460000001</v>
      </c>
    </row>
    <row r="18" spans="1:13" ht="15.95" customHeight="1" x14ac:dyDescent="0.2">
      <c r="A18" s="18" t="s">
        <v>104</v>
      </c>
      <c r="B18" s="168" t="s">
        <v>134</v>
      </c>
      <c r="C18" s="19">
        <v>41038.462</v>
      </c>
      <c r="D18" s="19">
        <v>18835.981</v>
      </c>
      <c r="E18" s="19">
        <v>12.609</v>
      </c>
      <c r="F18" s="19">
        <v>13274.255999999999</v>
      </c>
      <c r="G18" s="19">
        <v>63.11</v>
      </c>
      <c r="H18" s="19">
        <v>51715.080999999998</v>
      </c>
      <c r="I18" s="19">
        <v>7941.0839999999998</v>
      </c>
      <c r="J18" s="19">
        <v>94.168999999999997</v>
      </c>
      <c r="K18" s="19">
        <v>101328.76700000001</v>
      </c>
      <c r="L18" s="19">
        <v>61028.212</v>
      </c>
      <c r="M18" s="178">
        <f t="shared" si="0"/>
        <v>295331.73099999997</v>
      </c>
    </row>
    <row r="19" spans="1:13" ht="15.95" customHeight="1" x14ac:dyDescent="0.2">
      <c r="A19" s="18" t="s">
        <v>28</v>
      </c>
      <c r="B19" s="168" t="s">
        <v>134</v>
      </c>
      <c r="C19" s="19">
        <v>17464.167000000001</v>
      </c>
      <c r="D19" s="19">
        <v>0</v>
      </c>
      <c r="E19" s="19">
        <v>0</v>
      </c>
      <c r="F19" s="19">
        <v>167357.37</v>
      </c>
      <c r="G19" s="19">
        <v>0</v>
      </c>
      <c r="H19" s="19">
        <v>0</v>
      </c>
      <c r="I19" s="19">
        <v>0</v>
      </c>
      <c r="J19" s="19">
        <v>0</v>
      </c>
      <c r="K19" s="19">
        <v>260331.38099999999</v>
      </c>
      <c r="L19" s="19">
        <v>18345.79</v>
      </c>
      <c r="M19" s="178">
        <f t="shared" si="0"/>
        <v>463498.70799999998</v>
      </c>
    </row>
    <row r="20" spans="1:13" ht="15.95" customHeight="1" x14ac:dyDescent="0.2">
      <c r="A20" s="18" t="s">
        <v>29</v>
      </c>
      <c r="B20" s="168" t="s">
        <v>134</v>
      </c>
      <c r="C20" s="19">
        <v>0</v>
      </c>
      <c r="D20" s="19">
        <v>0</v>
      </c>
      <c r="E20" s="19">
        <v>0</v>
      </c>
      <c r="F20" s="19">
        <v>342.01600000000002</v>
      </c>
      <c r="G20" s="19">
        <v>224.12799999999999</v>
      </c>
      <c r="H20" s="19">
        <v>0</v>
      </c>
      <c r="I20" s="19">
        <v>0</v>
      </c>
      <c r="J20" s="19">
        <v>0</v>
      </c>
      <c r="K20" s="19">
        <v>0</v>
      </c>
      <c r="L20" s="19">
        <v>3915.1080000000002</v>
      </c>
      <c r="M20" s="178">
        <f t="shared" si="0"/>
        <v>4481.2520000000004</v>
      </c>
    </row>
    <row r="21" spans="1:13" ht="15.95" customHeight="1" x14ac:dyDescent="0.2">
      <c r="A21" s="18" t="s">
        <v>105</v>
      </c>
      <c r="B21" s="168" t="s">
        <v>134</v>
      </c>
      <c r="C21" s="19">
        <v>0</v>
      </c>
      <c r="D21" s="19">
        <v>250.81700000000001</v>
      </c>
      <c r="E21" s="19">
        <v>0</v>
      </c>
      <c r="F21" s="19">
        <v>54922.728999999999</v>
      </c>
      <c r="G21" s="19">
        <v>0</v>
      </c>
      <c r="H21" s="19">
        <v>0</v>
      </c>
      <c r="I21" s="19">
        <v>0</v>
      </c>
      <c r="J21" s="19">
        <v>0</v>
      </c>
      <c r="K21" s="19">
        <v>5215.8209999999999</v>
      </c>
      <c r="L21" s="19">
        <v>32829.777000000002</v>
      </c>
      <c r="M21" s="178">
        <f t="shared" si="0"/>
        <v>93219.144</v>
      </c>
    </row>
    <row r="22" spans="1:13" ht="15.95" customHeight="1" x14ac:dyDescent="0.2">
      <c r="A22" s="18" t="s">
        <v>106</v>
      </c>
      <c r="B22" s="168" t="s">
        <v>134</v>
      </c>
      <c r="C22" s="19">
        <v>0</v>
      </c>
      <c r="D22" s="19">
        <v>22729.858</v>
      </c>
      <c r="E22" s="19">
        <v>0</v>
      </c>
      <c r="F22" s="19">
        <v>47420.889000000003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13439.232</v>
      </c>
      <c r="M22" s="178">
        <f t="shared" si="0"/>
        <v>83589.979000000007</v>
      </c>
    </row>
    <row r="23" spans="1:13" ht="15.95" customHeight="1" x14ac:dyDescent="0.2">
      <c r="A23" s="18" t="s">
        <v>115</v>
      </c>
      <c r="B23" s="168" t="s">
        <v>134</v>
      </c>
      <c r="C23" s="19">
        <v>0</v>
      </c>
      <c r="D23" s="19">
        <v>83000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180325.66200000001</v>
      </c>
      <c r="M23" s="178">
        <f t="shared" si="0"/>
        <v>263325.66200000001</v>
      </c>
    </row>
    <row r="24" spans="1:13" ht="15.95" customHeight="1" x14ac:dyDescent="0.2">
      <c r="A24" s="18" t="s">
        <v>32</v>
      </c>
      <c r="B24" s="168" t="s">
        <v>135</v>
      </c>
      <c r="C24" s="19">
        <v>20</v>
      </c>
      <c r="D24" s="19">
        <v>536.95699999999999</v>
      </c>
      <c r="E24" s="19">
        <v>0</v>
      </c>
      <c r="F24" s="19">
        <v>2.2400000000000002</v>
      </c>
      <c r="G24" s="19">
        <v>0.44400000000000001</v>
      </c>
      <c r="H24" s="19">
        <v>0</v>
      </c>
      <c r="I24" s="19">
        <v>15.138</v>
      </c>
      <c r="J24" s="19">
        <v>31.786920000000002</v>
      </c>
      <c r="K24" s="19">
        <v>2565.6410000000001</v>
      </c>
      <c r="L24" s="19">
        <v>56.305</v>
      </c>
      <c r="M24" s="178">
        <f t="shared" si="0"/>
        <v>3228.5119199999999</v>
      </c>
    </row>
    <row r="25" spans="1:13" ht="15.95" customHeight="1" x14ac:dyDescent="0.2">
      <c r="A25" s="18" t="s">
        <v>107</v>
      </c>
      <c r="B25" s="168" t="s">
        <v>135</v>
      </c>
      <c r="C25" s="19">
        <v>401928.99800000002</v>
      </c>
      <c r="D25" s="19">
        <v>76107.187000000005</v>
      </c>
      <c r="E25" s="19">
        <v>8248.4330000000009</v>
      </c>
      <c r="F25" s="19">
        <v>21557.431</v>
      </c>
      <c r="G25" s="19">
        <v>0</v>
      </c>
      <c r="H25" s="19">
        <v>47489.188000000002</v>
      </c>
      <c r="I25" s="19">
        <v>91427.366179999997</v>
      </c>
      <c r="J25" s="19">
        <v>2553.529</v>
      </c>
      <c r="K25" s="19">
        <v>183095.79300000001</v>
      </c>
      <c r="L25" s="19">
        <v>956331.15099999995</v>
      </c>
      <c r="M25" s="178">
        <f t="shared" si="0"/>
        <v>1788739.0761799999</v>
      </c>
    </row>
    <row r="26" spans="1:13" ht="15.95" customHeight="1" x14ac:dyDescent="0.2">
      <c r="A26" s="18" t="s">
        <v>34</v>
      </c>
      <c r="B26" s="168" t="s">
        <v>135</v>
      </c>
      <c r="C26" s="19">
        <v>285000</v>
      </c>
      <c r="D26" s="19">
        <v>4178.7209999999995</v>
      </c>
      <c r="E26" s="19">
        <v>10000</v>
      </c>
      <c r="F26" s="19">
        <v>108375.356</v>
      </c>
      <c r="G26" s="19">
        <v>33518.928999999996</v>
      </c>
      <c r="H26" s="19">
        <v>50200</v>
      </c>
      <c r="I26" s="19">
        <v>80115.982999999993</v>
      </c>
      <c r="J26" s="19">
        <v>5550</v>
      </c>
      <c r="K26" s="19">
        <v>200980.163</v>
      </c>
      <c r="L26" s="19">
        <v>1737120.09</v>
      </c>
      <c r="M26" s="178">
        <f t="shared" si="0"/>
        <v>2515039.2420000001</v>
      </c>
    </row>
    <row r="27" spans="1:13" ht="15.95" customHeight="1" x14ac:dyDescent="0.2">
      <c r="A27" s="18" t="s">
        <v>108</v>
      </c>
      <c r="B27" s="168" t="s">
        <v>135</v>
      </c>
      <c r="C27" s="19">
        <v>0</v>
      </c>
      <c r="D27" s="19">
        <v>0</v>
      </c>
      <c r="E27" s="19">
        <v>4568.75</v>
      </c>
      <c r="F27" s="19">
        <v>0</v>
      </c>
      <c r="G27" s="19">
        <v>0</v>
      </c>
      <c r="H27" s="19">
        <v>10000</v>
      </c>
      <c r="I27" s="19">
        <v>0</v>
      </c>
      <c r="J27" s="19">
        <v>43922.212402939425</v>
      </c>
      <c r="K27" s="19">
        <v>85163.673999999999</v>
      </c>
      <c r="L27" s="19">
        <v>1132708.4509999999</v>
      </c>
      <c r="M27" s="178">
        <f t="shared" si="0"/>
        <v>1276363.0874029393</v>
      </c>
    </row>
    <row r="28" spans="1:13" ht="15.95" customHeight="1" x14ac:dyDescent="0.2">
      <c r="A28" s="18" t="s">
        <v>109</v>
      </c>
      <c r="B28" s="168" t="s">
        <v>134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2468.3227700000002</v>
      </c>
      <c r="J28" s="19">
        <v>0</v>
      </c>
      <c r="K28" s="19">
        <v>0</v>
      </c>
      <c r="L28" s="19">
        <v>106056.52499999999</v>
      </c>
      <c r="M28" s="178">
        <f t="shared" si="0"/>
        <v>108524.84776999999</v>
      </c>
    </row>
    <row r="29" spans="1:13" ht="15.95" customHeight="1" x14ac:dyDescent="0.2">
      <c r="A29" s="18" t="s">
        <v>116</v>
      </c>
      <c r="B29" s="168" t="s">
        <v>134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127.21718000000001</v>
      </c>
      <c r="J29" s="19">
        <v>0</v>
      </c>
      <c r="K29" s="19">
        <v>0</v>
      </c>
      <c r="L29" s="19">
        <v>708.67600000000004</v>
      </c>
      <c r="M29" s="178">
        <f t="shared" si="0"/>
        <v>835.89318000000003</v>
      </c>
    </row>
    <row r="30" spans="1:13" ht="15.95" customHeight="1" x14ac:dyDescent="0.2">
      <c r="A30" s="18" t="s">
        <v>117</v>
      </c>
      <c r="B30" s="168" t="s">
        <v>134</v>
      </c>
      <c r="C30" s="19">
        <v>18348.437000000002</v>
      </c>
      <c r="D30" s="19">
        <v>0</v>
      </c>
      <c r="E30" s="19">
        <v>87.938999999999993</v>
      </c>
      <c r="F30" s="19">
        <v>22691.753000000001</v>
      </c>
      <c r="G30" s="19">
        <v>289.79700000000003</v>
      </c>
      <c r="H30" s="19">
        <v>11836.215</v>
      </c>
      <c r="I30" s="19">
        <v>235.18206000000001</v>
      </c>
      <c r="J30" s="19">
        <v>0</v>
      </c>
      <c r="K30" s="19">
        <v>24714.641</v>
      </c>
      <c r="L30" s="19">
        <v>372345.33199999999</v>
      </c>
      <c r="M30" s="178">
        <f t="shared" si="0"/>
        <v>450549.29605999996</v>
      </c>
    </row>
    <row r="31" spans="1:13" ht="15.95" customHeight="1" x14ac:dyDescent="0.2">
      <c r="A31" s="18" t="s">
        <v>110</v>
      </c>
      <c r="B31" s="168" t="s">
        <v>134</v>
      </c>
      <c r="C31" s="19">
        <v>13477.632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7880.7068099999906</v>
      </c>
      <c r="J31" s="19">
        <v>0</v>
      </c>
      <c r="K31" s="19">
        <v>139240.23000000001</v>
      </c>
      <c r="L31" s="19">
        <v>16825.544000000002</v>
      </c>
      <c r="M31" s="178">
        <f t="shared" si="0"/>
        <v>177424.11280999999</v>
      </c>
    </row>
    <row r="32" spans="1:13" ht="15.95" customHeight="1" x14ac:dyDescent="0.2">
      <c r="A32" s="18" t="s">
        <v>37</v>
      </c>
      <c r="B32" s="168" t="s">
        <v>134</v>
      </c>
      <c r="C32" s="19">
        <v>26963.404999999999</v>
      </c>
      <c r="D32" s="19">
        <v>123.902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171827.12299999999</v>
      </c>
      <c r="L32" s="19">
        <v>183097.23</v>
      </c>
      <c r="M32" s="178">
        <f t="shared" si="0"/>
        <v>382011.66000000003</v>
      </c>
    </row>
    <row r="33" spans="1:13" ht="15.95" customHeight="1" x14ac:dyDescent="0.2">
      <c r="A33" s="18" t="s">
        <v>40</v>
      </c>
      <c r="B33" s="168" t="s">
        <v>134</v>
      </c>
      <c r="C33" s="19">
        <v>22478.694</v>
      </c>
      <c r="D33" s="19">
        <v>15340.115</v>
      </c>
      <c r="E33" s="19">
        <v>0</v>
      </c>
      <c r="F33" s="19">
        <v>12390.620999999999</v>
      </c>
      <c r="G33" s="19">
        <v>3166.0610000000001</v>
      </c>
      <c r="H33" s="19">
        <v>60790.784</v>
      </c>
      <c r="I33" s="19">
        <v>32118.495999999999</v>
      </c>
      <c r="J33" s="19">
        <v>3815.8449999999998</v>
      </c>
      <c r="K33" s="19">
        <v>339.2</v>
      </c>
      <c r="L33" s="19">
        <v>349386.53100000002</v>
      </c>
      <c r="M33" s="178">
        <f t="shared" si="0"/>
        <v>499826.34700000007</v>
      </c>
    </row>
    <row r="34" spans="1:13" ht="15.95" customHeight="1" x14ac:dyDescent="0.2">
      <c r="A34" s="18" t="s">
        <v>41</v>
      </c>
      <c r="B34" s="168" t="s">
        <v>41</v>
      </c>
      <c r="C34" s="19">
        <v>881.71199999999999</v>
      </c>
      <c r="D34" s="19">
        <v>0</v>
      </c>
      <c r="E34" s="19">
        <v>3426.616</v>
      </c>
      <c r="F34" s="19">
        <v>6080.9660000000003</v>
      </c>
      <c r="G34" s="19">
        <v>0</v>
      </c>
      <c r="H34" s="19">
        <v>0</v>
      </c>
      <c r="I34" s="19">
        <v>0</v>
      </c>
      <c r="J34" s="19">
        <v>98.561999999999998</v>
      </c>
      <c r="K34" s="19">
        <v>248082.11799999999</v>
      </c>
      <c r="L34" s="19">
        <v>55488.639999999999</v>
      </c>
      <c r="M34" s="178">
        <f t="shared" si="0"/>
        <v>314058.614</v>
      </c>
    </row>
    <row r="35" spans="1:13" ht="5.25" customHeight="1" x14ac:dyDescent="0.2">
      <c r="A35" s="20"/>
      <c r="B35" s="20"/>
      <c r="C35" s="20"/>
      <c r="D35" s="20"/>
      <c r="E35" s="20"/>
      <c r="F35" s="20"/>
      <c r="G35" s="166"/>
      <c r="H35" s="20"/>
      <c r="I35" s="20"/>
      <c r="J35" s="20"/>
      <c r="K35" s="20"/>
      <c r="L35" s="20"/>
      <c r="M35" s="20"/>
    </row>
    <row r="36" spans="1:13" ht="17.100000000000001" customHeight="1" x14ac:dyDescent="0.2">
      <c r="A36" s="21" t="s">
        <v>13</v>
      </c>
      <c r="B36" s="21"/>
      <c r="C36" s="22">
        <f t="shared" ref="C36:H36" si="1">SUM(C5:C34)</f>
        <v>3777087.3469999996</v>
      </c>
      <c r="D36" s="22">
        <f t="shared" si="1"/>
        <v>1214986.5948679997</v>
      </c>
      <c r="E36" s="22">
        <f t="shared" si="1"/>
        <v>54935.199000000001</v>
      </c>
      <c r="F36" s="22">
        <f t="shared" si="1"/>
        <v>9927545.1559999995</v>
      </c>
      <c r="G36" s="22">
        <f t="shared" si="1"/>
        <v>43620.39</v>
      </c>
      <c r="H36" s="22">
        <f t="shared" si="1"/>
        <v>4244441.3739999998</v>
      </c>
      <c r="I36" s="22">
        <f>SUM(I5:I34)</f>
        <v>649876.55665469461</v>
      </c>
      <c r="J36" s="22">
        <f>SUM(J5:J34)</f>
        <v>59084.152112939424</v>
      </c>
      <c r="K36" s="22">
        <f>SUM(K5:K34)</f>
        <v>17351104.308000002</v>
      </c>
      <c r="L36" s="22">
        <f>SUM(L5:L34)</f>
        <v>47638788.190000005</v>
      </c>
      <c r="M36" s="22">
        <f>SUM(M5:M34)</f>
        <v>84961469.267635643</v>
      </c>
    </row>
    <row r="37" spans="1:13" x14ac:dyDescent="0.2">
      <c r="A37" s="26"/>
      <c r="B37" s="26"/>
      <c r="C37" s="26"/>
      <c r="D37"/>
      <c r="E37"/>
      <c r="F37"/>
      <c r="G37"/>
      <c r="H37"/>
      <c r="I37"/>
      <c r="J37"/>
      <c r="K37"/>
      <c r="L37"/>
      <c r="M37"/>
    </row>
    <row r="38" spans="1:13" x14ac:dyDescent="0.2">
      <c r="A38" s="23" t="s">
        <v>111</v>
      </c>
      <c r="B38" s="23"/>
      <c r="C38" s="23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x14ac:dyDescent="0.2">
      <c r="A39" s="23" t="s">
        <v>142</v>
      </c>
      <c r="B39" s="23"/>
      <c r="C39" s="23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x14ac:dyDescent="0.2">
      <c r="A40" s="27" t="s">
        <v>123</v>
      </c>
      <c r="B40" s="27"/>
      <c r="C40" s="27"/>
    </row>
    <row r="41" spans="1:13" x14ac:dyDescent="0.2">
      <c r="A41" s="28"/>
      <c r="B41" s="28"/>
      <c r="C41" s="28"/>
    </row>
  </sheetData>
  <mergeCells count="3">
    <mergeCell ref="A1:M1"/>
    <mergeCell ref="A2:M2"/>
    <mergeCell ref="A3:M3"/>
  </mergeCells>
  <pageMargins left="0.7" right="0.7" top="0.75" bottom="0.75" header="0.3" footer="0.3"/>
  <pageSetup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Normal="100" workbookViewId="0">
      <pane xSplit="2" ySplit="4" topLeftCell="C5" activePane="bottomRight" state="frozen"/>
      <selection activeCell="E13" sqref="E13"/>
      <selection pane="topRight" activeCell="E13" sqref="E13"/>
      <selection pane="bottomLeft" activeCell="E13" sqref="E13"/>
      <selection pane="bottomRight" activeCell="A3" sqref="A3:M3"/>
    </sheetView>
  </sheetViews>
  <sheetFormatPr defaultRowHeight="12.75" x14ac:dyDescent="0.2"/>
  <cols>
    <col min="1" max="1" width="30.7109375" style="16" customWidth="1"/>
    <col min="2" max="2" width="22.42578125" style="16" hidden="1" customWidth="1"/>
    <col min="3" max="13" width="15.7109375" style="16" customWidth="1"/>
  </cols>
  <sheetData>
    <row r="1" spans="1:13" s="29" customFormat="1" ht="14.1" customHeight="1" x14ac:dyDescent="0.25">
      <c r="A1" s="182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s="29" customFormat="1" ht="14.1" customHeight="1" x14ac:dyDescent="0.25">
      <c r="A2" s="182" t="s">
        <v>136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4.1" customHeight="1" x14ac:dyDescent="0.2">
      <c r="A3" s="183" t="s">
        <v>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3" ht="23.1" customHeight="1" x14ac:dyDescent="0.2">
      <c r="A4" s="17"/>
      <c r="B4" s="17"/>
      <c r="C4" s="17" t="s">
        <v>139</v>
      </c>
      <c r="D4" s="17" t="s">
        <v>93</v>
      </c>
      <c r="E4" s="17" t="s">
        <v>125</v>
      </c>
      <c r="F4" s="17" t="s">
        <v>6</v>
      </c>
      <c r="G4" s="17" t="s">
        <v>126</v>
      </c>
      <c r="H4" s="17" t="s">
        <v>8</v>
      </c>
      <c r="I4" s="17" t="s">
        <v>95</v>
      </c>
      <c r="J4" s="17" t="s">
        <v>127</v>
      </c>
      <c r="K4" s="17" t="s">
        <v>97</v>
      </c>
      <c r="L4" s="17" t="s">
        <v>122</v>
      </c>
      <c r="M4" s="17" t="s">
        <v>13</v>
      </c>
    </row>
    <row r="5" spans="1:13" ht="15.95" customHeight="1" x14ac:dyDescent="0.2">
      <c r="A5" s="18" t="s">
        <v>14</v>
      </c>
      <c r="B5" s="168" t="s">
        <v>41</v>
      </c>
      <c r="C5" s="19">
        <v>6251.1559999999999</v>
      </c>
      <c r="D5" s="19">
        <v>1455.289</v>
      </c>
      <c r="E5" s="19">
        <v>1E-3</v>
      </c>
      <c r="F5" s="19">
        <v>6988.0020000000004</v>
      </c>
      <c r="G5" s="19">
        <v>0</v>
      </c>
      <c r="H5" s="19">
        <v>0</v>
      </c>
      <c r="I5" s="19">
        <v>3078.7779999999998</v>
      </c>
      <c r="J5" s="19">
        <v>0</v>
      </c>
      <c r="K5" s="19">
        <v>25150.523000000001</v>
      </c>
      <c r="L5" s="19">
        <v>14007.553</v>
      </c>
      <c r="M5" s="178">
        <f>SUM(C5:L5)</f>
        <v>56931.301999999996</v>
      </c>
    </row>
    <row r="6" spans="1:13" ht="15.95" customHeight="1" x14ac:dyDescent="0.2">
      <c r="A6" s="18" t="s">
        <v>15</v>
      </c>
      <c r="B6" s="168" t="s">
        <v>130</v>
      </c>
      <c r="C6" s="19">
        <v>401200</v>
      </c>
      <c r="D6" s="19">
        <v>34002.868999999999</v>
      </c>
      <c r="E6" s="19">
        <v>0</v>
      </c>
      <c r="F6" s="19">
        <v>55860</v>
      </c>
      <c r="G6" s="19">
        <v>0</v>
      </c>
      <c r="H6" s="19">
        <v>58500</v>
      </c>
      <c r="I6" s="19">
        <v>0</v>
      </c>
      <c r="J6" s="19">
        <v>2695</v>
      </c>
      <c r="K6" s="19">
        <v>254776.18299999999</v>
      </c>
      <c r="L6" s="19">
        <v>213760.37700000001</v>
      </c>
      <c r="M6" s="178">
        <f t="shared" ref="M6:M34" si="0">SUM(C6:L6)</f>
        <v>1020794.4289999999</v>
      </c>
    </row>
    <row r="7" spans="1:13" ht="15.95" customHeight="1" x14ac:dyDescent="0.2">
      <c r="A7" s="18" t="s">
        <v>16</v>
      </c>
      <c r="B7" s="168" t="s">
        <v>130</v>
      </c>
      <c r="C7" s="19">
        <v>1940900</v>
      </c>
      <c r="D7" s="19">
        <v>163151.26804000002</v>
      </c>
      <c r="E7" s="19">
        <v>1100</v>
      </c>
      <c r="F7" s="19">
        <v>129253.053</v>
      </c>
      <c r="G7" s="19">
        <v>701</v>
      </c>
      <c r="H7" s="19">
        <v>340300</v>
      </c>
      <c r="I7" s="19">
        <v>0</v>
      </c>
      <c r="J7" s="19">
        <v>0</v>
      </c>
      <c r="K7" s="19">
        <v>1380100</v>
      </c>
      <c r="L7" s="19">
        <v>439074.40500000003</v>
      </c>
      <c r="M7" s="178">
        <f t="shared" si="0"/>
        <v>4394579.7260400001</v>
      </c>
    </row>
    <row r="8" spans="1:13" ht="15.95" customHeight="1" x14ac:dyDescent="0.2">
      <c r="A8" s="18" t="s">
        <v>17</v>
      </c>
      <c r="B8" s="168" t="s">
        <v>130</v>
      </c>
      <c r="C8" s="19">
        <v>5470.1139999999996</v>
      </c>
      <c r="D8" s="19">
        <v>12970.35</v>
      </c>
      <c r="E8" s="19">
        <v>2E-3</v>
      </c>
      <c r="F8" s="19">
        <v>6318.9769999999999</v>
      </c>
      <c r="G8" s="19">
        <v>0.31</v>
      </c>
      <c r="H8" s="19">
        <v>4747.6139999999996</v>
      </c>
      <c r="I8" s="19">
        <v>1359.79</v>
      </c>
      <c r="J8" s="19">
        <v>469.8175</v>
      </c>
      <c r="K8" s="19">
        <v>35273.248</v>
      </c>
      <c r="L8" s="19">
        <v>36919.981</v>
      </c>
      <c r="M8" s="178">
        <f t="shared" si="0"/>
        <v>103530.2035</v>
      </c>
    </row>
    <row r="9" spans="1:13" ht="15.95" customHeight="1" x14ac:dyDescent="0.2">
      <c r="A9" s="18" t="s">
        <v>18</v>
      </c>
      <c r="B9" s="168" t="s">
        <v>18</v>
      </c>
      <c r="C9" s="19">
        <v>1E-3</v>
      </c>
      <c r="D9" s="19">
        <v>6570.5450000000001</v>
      </c>
      <c r="E9" s="19">
        <v>0</v>
      </c>
      <c r="F9" s="19">
        <v>75</v>
      </c>
      <c r="G9" s="19">
        <v>0</v>
      </c>
      <c r="H9" s="19">
        <v>0</v>
      </c>
      <c r="I9" s="19">
        <v>0</v>
      </c>
      <c r="J9" s="19">
        <v>0</v>
      </c>
      <c r="K9" s="19">
        <v>3927982.0490000001</v>
      </c>
      <c r="L9" s="19">
        <v>540625.61300000001</v>
      </c>
      <c r="M9" s="178">
        <f t="shared" si="0"/>
        <v>4475253.2080000006</v>
      </c>
    </row>
    <row r="10" spans="1:13" ht="15.95" customHeight="1" x14ac:dyDescent="0.2">
      <c r="A10" s="18" t="s">
        <v>19</v>
      </c>
      <c r="B10" s="168" t="s">
        <v>131</v>
      </c>
      <c r="C10" s="19">
        <f>(6210+190800+9235181+924960+63663422)/1000</f>
        <v>74020.573000000004</v>
      </c>
      <c r="D10" s="19">
        <v>238180.48699999999</v>
      </c>
      <c r="E10" s="19">
        <v>0</v>
      </c>
      <c r="F10" s="19">
        <v>2533903.915</v>
      </c>
      <c r="G10" s="19">
        <v>0</v>
      </c>
      <c r="H10" s="19">
        <v>88043.005000000005</v>
      </c>
      <c r="I10" s="19">
        <v>124062.38800000001</v>
      </c>
      <c r="J10" s="19">
        <v>0</v>
      </c>
      <c r="K10" s="19">
        <v>1543938.9779999999</v>
      </c>
      <c r="L10" s="19">
        <v>12290547.668</v>
      </c>
      <c r="M10" s="178">
        <f t="shared" si="0"/>
        <v>16892697.013999999</v>
      </c>
    </row>
    <row r="11" spans="1:13" ht="15.95" customHeight="1" x14ac:dyDescent="0.2">
      <c r="A11" s="18" t="s">
        <v>112</v>
      </c>
      <c r="B11" s="168" t="s">
        <v>131</v>
      </c>
      <c r="C11" s="19">
        <f>(2610820+19737941+7899697+29770031+2100000+1)/1000</f>
        <v>62118.49</v>
      </c>
      <c r="D11" s="19">
        <v>149910.519</v>
      </c>
      <c r="E11" s="19">
        <v>27943.753000000001</v>
      </c>
      <c r="F11" s="19">
        <v>122255.58199999999</v>
      </c>
      <c r="G11" s="19">
        <v>633.79999999999995</v>
      </c>
      <c r="H11" s="19">
        <v>0</v>
      </c>
      <c r="I11" s="19">
        <v>0</v>
      </c>
      <c r="J11" s="19">
        <v>0</v>
      </c>
      <c r="K11" s="19">
        <v>449041.30200000003</v>
      </c>
      <c r="L11" s="19">
        <v>1164205.638</v>
      </c>
      <c r="M11" s="178">
        <f t="shared" si="0"/>
        <v>1976109.084</v>
      </c>
    </row>
    <row r="12" spans="1:13" ht="15.95" customHeight="1" x14ac:dyDescent="0.2">
      <c r="A12" s="18" t="s">
        <v>113</v>
      </c>
      <c r="B12" s="168" t="s">
        <v>132</v>
      </c>
      <c r="C12" s="19">
        <f>(41787300+9655159+1)/1000</f>
        <v>51442.46</v>
      </c>
      <c r="D12" s="19">
        <v>53214.277999999998</v>
      </c>
      <c r="E12" s="19">
        <v>0</v>
      </c>
      <c r="F12" s="19">
        <v>0</v>
      </c>
      <c r="G12" s="19">
        <v>0</v>
      </c>
      <c r="H12" s="19">
        <v>0</v>
      </c>
      <c r="I12" s="19">
        <v>116153.26594000001</v>
      </c>
      <c r="J12" s="19">
        <v>0</v>
      </c>
      <c r="K12" s="19">
        <v>0</v>
      </c>
      <c r="L12" s="19">
        <v>1399436.9669999999</v>
      </c>
      <c r="M12" s="178">
        <f t="shared" si="0"/>
        <v>1620246.9709399999</v>
      </c>
    </row>
    <row r="13" spans="1:13" ht="15.95" customHeight="1" x14ac:dyDescent="0.2">
      <c r="A13" s="18" t="s">
        <v>114</v>
      </c>
      <c r="B13" s="168" t="s">
        <v>132</v>
      </c>
      <c r="C13" s="19">
        <f>(160309999+15539259+15246130+14467260+6614856)/1000</f>
        <v>212177.50399999999</v>
      </c>
      <c r="D13" s="19">
        <v>0</v>
      </c>
      <c r="E13" s="19">
        <v>0</v>
      </c>
      <c r="F13" s="19">
        <v>415107.29599999997</v>
      </c>
      <c r="G13" s="19">
        <v>0</v>
      </c>
      <c r="H13" s="19">
        <v>0</v>
      </c>
      <c r="I13" s="19">
        <v>0</v>
      </c>
      <c r="J13" s="19">
        <v>0</v>
      </c>
      <c r="K13" s="19">
        <v>1011.503</v>
      </c>
      <c r="L13" s="19">
        <v>6895022.7929999996</v>
      </c>
      <c r="M13" s="178">
        <f t="shared" si="0"/>
        <v>7523319.0959999999</v>
      </c>
    </row>
    <row r="14" spans="1:13" ht="15.95" customHeight="1" x14ac:dyDescent="0.2">
      <c r="A14" s="18" t="s">
        <v>102</v>
      </c>
      <c r="B14" s="168" t="s">
        <v>133</v>
      </c>
      <c r="C14" s="19">
        <v>0</v>
      </c>
      <c r="D14" s="19">
        <v>172618.49299999999</v>
      </c>
      <c r="E14" s="19">
        <v>0</v>
      </c>
      <c r="F14" s="19">
        <v>4908992.6459999997</v>
      </c>
      <c r="G14" s="19">
        <v>0</v>
      </c>
      <c r="H14" s="19">
        <v>2937726.6830000002</v>
      </c>
      <c r="I14" s="19">
        <v>0</v>
      </c>
      <c r="J14" s="19">
        <v>0</v>
      </c>
      <c r="K14" s="19">
        <v>5602767.4620000003</v>
      </c>
      <c r="L14" s="19">
        <v>8560572.5360000003</v>
      </c>
      <c r="M14" s="178">
        <f t="shared" si="0"/>
        <v>22182677.82</v>
      </c>
    </row>
    <row r="15" spans="1:13" ht="15.95" customHeight="1" x14ac:dyDescent="0.2">
      <c r="A15" s="18" t="s">
        <v>24</v>
      </c>
      <c r="B15" s="168" t="s">
        <v>133</v>
      </c>
      <c r="C15" s="19">
        <v>5.0000000000000001E-3</v>
      </c>
      <c r="D15" s="19">
        <v>82041.407999999996</v>
      </c>
      <c r="E15" s="19">
        <v>0</v>
      </c>
      <c r="F15" s="19">
        <v>66371.146999999997</v>
      </c>
      <c r="G15" s="19">
        <v>0</v>
      </c>
      <c r="H15" s="19">
        <v>0</v>
      </c>
      <c r="I15" s="19">
        <v>250827.45259999999</v>
      </c>
      <c r="J15" s="19">
        <v>0</v>
      </c>
      <c r="K15" s="19">
        <v>287946.12699999998</v>
      </c>
      <c r="L15" s="19">
        <v>1444711.3759999999</v>
      </c>
      <c r="M15" s="178">
        <f t="shared" si="0"/>
        <v>2131897.5156</v>
      </c>
    </row>
    <row r="16" spans="1:13" ht="15.95" customHeight="1" x14ac:dyDescent="0.2">
      <c r="A16" s="18" t="s">
        <v>103</v>
      </c>
      <c r="B16" s="168" t="s">
        <v>134</v>
      </c>
      <c r="C16" s="19">
        <v>173721.93900000001</v>
      </c>
      <c r="D16" s="19">
        <v>60782.922400000018</v>
      </c>
      <c r="E16" s="19">
        <v>633.95065999999997</v>
      </c>
      <c r="F16" s="19">
        <v>332867.245</v>
      </c>
      <c r="G16" s="19">
        <v>6081.6970000000001</v>
      </c>
      <c r="H16" s="19">
        <v>78133.187999999995</v>
      </c>
      <c r="I16" s="19">
        <v>36588.459049999998</v>
      </c>
      <c r="J16" s="19">
        <v>0</v>
      </c>
      <c r="K16" s="19">
        <v>1133280.8089999999</v>
      </c>
      <c r="L16" s="19">
        <v>3152825.9879999999</v>
      </c>
      <c r="M16" s="178">
        <f t="shared" si="0"/>
        <v>4974916.1981099993</v>
      </c>
    </row>
    <row r="17" spans="1:13" ht="15.95" customHeight="1" x14ac:dyDescent="0.2">
      <c r="A17" s="18" t="s">
        <v>26</v>
      </c>
      <c r="B17" s="168" t="s">
        <v>134</v>
      </c>
      <c r="C17" s="19">
        <v>0</v>
      </c>
      <c r="D17" s="19">
        <v>0</v>
      </c>
      <c r="E17" s="19">
        <v>0</v>
      </c>
      <c r="F17" s="19">
        <v>19865.536</v>
      </c>
      <c r="G17" s="19">
        <v>16.463000000000001</v>
      </c>
      <c r="H17" s="19">
        <v>0</v>
      </c>
      <c r="I17" s="19">
        <v>0</v>
      </c>
      <c r="J17" s="19">
        <v>0</v>
      </c>
      <c r="K17" s="19">
        <v>1087.825</v>
      </c>
      <c r="L17" s="19">
        <v>1218119.2080000001</v>
      </c>
      <c r="M17" s="178">
        <f t="shared" si="0"/>
        <v>1239089.0320000001</v>
      </c>
    </row>
    <row r="18" spans="1:13" ht="15.95" customHeight="1" x14ac:dyDescent="0.2">
      <c r="A18" s="18" t="s">
        <v>104</v>
      </c>
      <c r="B18" s="168" t="s">
        <v>134</v>
      </c>
      <c r="C18" s="19">
        <v>26385.082999999999</v>
      </c>
      <c r="D18" s="19">
        <v>19656.447</v>
      </c>
      <c r="E18" s="19">
        <v>12.608700000000001</v>
      </c>
      <c r="F18" s="19">
        <v>14232.342000000001</v>
      </c>
      <c r="G18" s="19">
        <v>89.260999999999996</v>
      </c>
      <c r="H18" s="19">
        <v>49123.379000000001</v>
      </c>
      <c r="I18" s="19">
        <v>8019.9629999999997</v>
      </c>
      <c r="J18" s="19">
        <v>94.168999999999997</v>
      </c>
      <c r="K18" s="19">
        <v>104029.27499999999</v>
      </c>
      <c r="L18" s="19">
        <v>69594.596000000005</v>
      </c>
      <c r="M18" s="178">
        <f t="shared" si="0"/>
        <v>291237.1237</v>
      </c>
    </row>
    <row r="19" spans="1:13" ht="15.95" customHeight="1" x14ac:dyDescent="0.2">
      <c r="A19" s="18" t="s">
        <v>28</v>
      </c>
      <c r="B19" s="168" t="s">
        <v>134</v>
      </c>
      <c r="C19" s="19">
        <v>0</v>
      </c>
      <c r="D19" s="19">
        <v>0</v>
      </c>
      <c r="E19" s="19">
        <v>0</v>
      </c>
      <c r="F19" s="19">
        <v>109988.67</v>
      </c>
      <c r="G19" s="19">
        <v>0</v>
      </c>
      <c r="H19" s="19">
        <v>0</v>
      </c>
      <c r="I19" s="19">
        <v>0</v>
      </c>
      <c r="J19" s="19">
        <v>0</v>
      </c>
      <c r="K19" s="19">
        <v>261916.89300000001</v>
      </c>
      <c r="L19" s="19">
        <v>10917.616</v>
      </c>
      <c r="M19" s="178">
        <f t="shared" si="0"/>
        <v>382823.179</v>
      </c>
    </row>
    <row r="20" spans="1:13" ht="15.95" customHeight="1" x14ac:dyDescent="0.2">
      <c r="A20" s="18" t="s">
        <v>29</v>
      </c>
      <c r="B20" s="168" t="s">
        <v>134</v>
      </c>
      <c r="C20" s="19">
        <v>13112.749</v>
      </c>
      <c r="D20" s="19">
        <v>0</v>
      </c>
      <c r="E20" s="19">
        <v>0</v>
      </c>
      <c r="F20" s="19">
        <v>0</v>
      </c>
      <c r="G20" s="19">
        <v>224.12799999999999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78">
        <f t="shared" si="0"/>
        <v>13336.877</v>
      </c>
    </row>
    <row r="21" spans="1:13" ht="15.95" customHeight="1" x14ac:dyDescent="0.2">
      <c r="A21" s="18" t="s">
        <v>105</v>
      </c>
      <c r="B21" s="168" t="s">
        <v>134</v>
      </c>
      <c r="C21" s="19">
        <v>0</v>
      </c>
      <c r="D21" s="19">
        <v>733.64555000000007</v>
      </c>
      <c r="E21" s="19">
        <v>0</v>
      </c>
      <c r="F21" s="19">
        <v>55644.847999999998</v>
      </c>
      <c r="G21" s="19">
        <v>0</v>
      </c>
      <c r="H21" s="19">
        <v>0</v>
      </c>
      <c r="I21" s="19">
        <v>0</v>
      </c>
      <c r="J21" s="19">
        <v>0</v>
      </c>
      <c r="K21" s="19">
        <v>6287.4949999999999</v>
      </c>
      <c r="L21" s="19">
        <v>33547.040999999997</v>
      </c>
      <c r="M21" s="178">
        <f t="shared" si="0"/>
        <v>96213.029550000007</v>
      </c>
    </row>
    <row r="22" spans="1:13" ht="15.95" customHeight="1" x14ac:dyDescent="0.2">
      <c r="A22" s="18" t="s">
        <v>106</v>
      </c>
      <c r="B22" s="168" t="s">
        <v>134</v>
      </c>
      <c r="C22" s="19">
        <v>0</v>
      </c>
      <c r="D22" s="19">
        <v>8314.3880000000008</v>
      </c>
      <c r="E22" s="19">
        <v>0</v>
      </c>
      <c r="F22" s="19">
        <v>51786.345999999998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25339.232</v>
      </c>
      <c r="M22" s="178">
        <f t="shared" si="0"/>
        <v>85439.966</v>
      </c>
    </row>
    <row r="23" spans="1:13" ht="15.95" customHeight="1" x14ac:dyDescent="0.2">
      <c r="A23" s="18" t="s">
        <v>115</v>
      </c>
      <c r="B23" s="168" t="s">
        <v>134</v>
      </c>
      <c r="C23" s="19">
        <v>0</v>
      </c>
      <c r="D23" s="19">
        <v>85500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95489.010999999999</v>
      </c>
      <c r="M23" s="178">
        <f t="shared" si="0"/>
        <v>180989.011</v>
      </c>
    </row>
    <row r="24" spans="1:13" ht="15.95" customHeight="1" x14ac:dyDescent="0.2">
      <c r="A24" s="18" t="s">
        <v>32</v>
      </c>
      <c r="B24" s="168" t="s">
        <v>135</v>
      </c>
      <c r="C24" s="19">
        <v>20</v>
      </c>
      <c r="D24" s="19">
        <v>0</v>
      </c>
      <c r="E24" s="19">
        <v>0</v>
      </c>
      <c r="F24" s="19">
        <v>7.74</v>
      </c>
      <c r="G24" s="19">
        <v>0.44400000000000001</v>
      </c>
      <c r="H24" s="19">
        <v>0</v>
      </c>
      <c r="I24" s="19">
        <v>9.9529999999999994</v>
      </c>
      <c r="J24" s="19">
        <v>2910.69805</v>
      </c>
      <c r="K24" s="19">
        <v>5827.9880000000003</v>
      </c>
      <c r="L24" s="19">
        <v>45.378</v>
      </c>
      <c r="M24" s="178">
        <f t="shared" si="0"/>
        <v>8822.2010500000015</v>
      </c>
    </row>
    <row r="25" spans="1:13" ht="15.95" customHeight="1" x14ac:dyDescent="0.2">
      <c r="A25" s="18" t="s">
        <v>107</v>
      </c>
      <c r="B25" s="168" t="s">
        <v>135</v>
      </c>
      <c r="C25" s="19">
        <v>226697.40900000001</v>
      </c>
      <c r="D25" s="19">
        <v>52186.413999999997</v>
      </c>
      <c r="E25" s="19">
        <v>2996.9428220200002</v>
      </c>
      <c r="F25" s="19">
        <v>18938.298999999999</v>
      </c>
      <c r="G25" s="19">
        <v>3829.5630000000001</v>
      </c>
      <c r="H25" s="19">
        <v>36591.678</v>
      </c>
      <c r="I25" s="19">
        <v>40245.184999999998</v>
      </c>
      <c r="J25" s="19">
        <v>453.572</v>
      </c>
      <c r="K25" s="19">
        <v>160501.97</v>
      </c>
      <c r="L25" s="19">
        <v>918079.76500000001</v>
      </c>
      <c r="M25" s="178">
        <f t="shared" si="0"/>
        <v>1460520.79782202</v>
      </c>
    </row>
    <row r="26" spans="1:13" ht="15.95" customHeight="1" x14ac:dyDescent="0.2">
      <c r="A26" s="18" t="s">
        <v>34</v>
      </c>
      <c r="B26" s="168" t="s">
        <v>135</v>
      </c>
      <c r="C26" s="19">
        <v>100000</v>
      </c>
      <c r="D26" s="19">
        <v>3539.6759999999999</v>
      </c>
      <c r="E26" s="19">
        <v>10000</v>
      </c>
      <c r="F26" s="19">
        <v>159021.443</v>
      </c>
      <c r="G26" s="19">
        <v>36101.67</v>
      </c>
      <c r="H26" s="19">
        <v>285180</v>
      </c>
      <c r="I26" s="19">
        <v>0</v>
      </c>
      <c r="J26" s="19">
        <v>49565.437060000004</v>
      </c>
      <c r="K26" s="19">
        <v>104419.126</v>
      </c>
      <c r="L26" s="19">
        <v>2016690.1680000001</v>
      </c>
      <c r="M26" s="178">
        <f t="shared" si="0"/>
        <v>2764517.52006</v>
      </c>
    </row>
    <row r="27" spans="1:13" ht="15.95" customHeight="1" x14ac:dyDescent="0.2">
      <c r="A27" s="18" t="s">
        <v>108</v>
      </c>
      <c r="B27" s="168" t="s">
        <v>135</v>
      </c>
      <c r="C27" s="19">
        <v>22491.08</v>
      </c>
      <c r="D27" s="19">
        <v>0</v>
      </c>
      <c r="E27" s="19">
        <v>12316.147999999999</v>
      </c>
      <c r="F27" s="19">
        <v>0</v>
      </c>
      <c r="G27" s="19">
        <v>0</v>
      </c>
      <c r="H27" s="19">
        <v>10000</v>
      </c>
      <c r="I27" s="19">
        <v>0</v>
      </c>
      <c r="J27" s="19">
        <v>0</v>
      </c>
      <c r="K27" s="19">
        <v>130858.00199999999</v>
      </c>
      <c r="L27" s="19">
        <v>1615855.2660000001</v>
      </c>
      <c r="M27" s="178">
        <f t="shared" si="0"/>
        <v>1791520.496</v>
      </c>
    </row>
    <row r="28" spans="1:13" ht="15.95" customHeight="1" x14ac:dyDescent="0.2">
      <c r="A28" s="18" t="s">
        <v>109</v>
      </c>
      <c r="B28" s="168" t="s">
        <v>134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4731.4979999999996</v>
      </c>
      <c r="J28" s="19">
        <v>0</v>
      </c>
      <c r="K28" s="19">
        <v>0</v>
      </c>
      <c r="L28" s="19">
        <v>100260.451</v>
      </c>
      <c r="M28" s="178">
        <f t="shared" si="0"/>
        <v>104991.94899999999</v>
      </c>
    </row>
    <row r="29" spans="1:13" ht="15.95" customHeight="1" x14ac:dyDescent="0.2">
      <c r="A29" s="18" t="s">
        <v>116</v>
      </c>
      <c r="B29" s="168" t="s">
        <v>134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762.14800000000002</v>
      </c>
      <c r="J29" s="19">
        <v>0</v>
      </c>
      <c r="K29" s="19">
        <v>0</v>
      </c>
      <c r="L29" s="19">
        <v>1143.4490000000001</v>
      </c>
      <c r="M29" s="178">
        <f t="shared" si="0"/>
        <v>1905.5970000000002</v>
      </c>
    </row>
    <row r="30" spans="1:13" ht="15.95" customHeight="1" x14ac:dyDescent="0.2">
      <c r="A30" s="18" t="s">
        <v>117</v>
      </c>
      <c r="B30" s="168" t="s">
        <v>134</v>
      </c>
      <c r="C30" s="19">
        <v>18913.030999999999</v>
      </c>
      <c r="D30" s="19">
        <v>0</v>
      </c>
      <c r="E30" s="19">
        <v>129.53200000000001</v>
      </c>
      <c r="F30" s="19">
        <v>18676.002</v>
      </c>
      <c r="G30" s="19">
        <v>337.59899999999999</v>
      </c>
      <c r="H30" s="19">
        <v>7449.44</v>
      </c>
      <c r="I30" s="19">
        <v>352.1</v>
      </c>
      <c r="J30" s="19">
        <v>0</v>
      </c>
      <c r="K30" s="19">
        <v>4544.7030000000004</v>
      </c>
      <c r="L30" s="19">
        <v>438551.23800000001</v>
      </c>
      <c r="M30" s="178">
        <f t="shared" si="0"/>
        <v>488953.64500000002</v>
      </c>
    </row>
    <row r="31" spans="1:13" ht="15.95" customHeight="1" x14ac:dyDescent="0.2">
      <c r="A31" s="18" t="s">
        <v>110</v>
      </c>
      <c r="B31" s="168" t="s">
        <v>134</v>
      </c>
      <c r="C31" s="19">
        <v>3909.259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13399.431939999989</v>
      </c>
      <c r="J31" s="19">
        <v>0</v>
      </c>
      <c r="K31" s="19">
        <v>129815.31299999999</v>
      </c>
      <c r="L31" s="19">
        <v>963.36699999999996</v>
      </c>
      <c r="M31" s="178">
        <f t="shared" si="0"/>
        <v>148087.37093999999</v>
      </c>
    </row>
    <row r="32" spans="1:13" ht="15.95" customHeight="1" x14ac:dyDescent="0.2">
      <c r="A32" s="18" t="s">
        <v>37</v>
      </c>
      <c r="B32" s="168" t="s">
        <v>134</v>
      </c>
      <c r="C32" s="19">
        <v>156303.03599999999</v>
      </c>
      <c r="D32" s="19">
        <v>0</v>
      </c>
      <c r="E32" s="19">
        <v>0</v>
      </c>
      <c r="F32" s="19">
        <v>0</v>
      </c>
      <c r="G32" s="19">
        <v>0</v>
      </c>
      <c r="H32" s="19">
        <v>50872.144999999997</v>
      </c>
      <c r="I32" s="19">
        <v>9222.7909999999993</v>
      </c>
      <c r="J32" s="19">
        <v>0</v>
      </c>
      <c r="K32" s="19">
        <v>133387.51699999999</v>
      </c>
      <c r="L32" s="19">
        <v>56100.779000000002</v>
      </c>
      <c r="M32" s="178">
        <f t="shared" si="0"/>
        <v>405886.26799999992</v>
      </c>
    </row>
    <row r="33" spans="1:13" ht="15.95" customHeight="1" x14ac:dyDescent="0.2">
      <c r="A33" s="18" t="s">
        <v>40</v>
      </c>
      <c r="B33" s="168" t="s">
        <v>134</v>
      </c>
      <c r="C33" s="19">
        <v>20420.649000000001</v>
      </c>
      <c r="D33" s="19">
        <v>22566.350999999999</v>
      </c>
      <c r="E33" s="19">
        <v>0</v>
      </c>
      <c r="F33" s="19">
        <v>16652.152999999998</v>
      </c>
      <c r="G33" s="19">
        <v>3265.9459999999999</v>
      </c>
      <c r="H33" s="19">
        <v>12488.296</v>
      </c>
      <c r="I33" s="19">
        <v>38143.135000000002</v>
      </c>
      <c r="J33" s="19">
        <v>2979.4030499999999</v>
      </c>
      <c r="K33" s="19">
        <v>354.66</v>
      </c>
      <c r="L33" s="19">
        <v>347663.31699999998</v>
      </c>
      <c r="M33" s="178">
        <f t="shared" si="0"/>
        <v>464533.91004999995</v>
      </c>
    </row>
    <row r="34" spans="1:13" ht="15.95" customHeight="1" x14ac:dyDescent="0.2">
      <c r="A34" s="18" t="s">
        <v>41</v>
      </c>
      <c r="B34" s="168" t="s">
        <v>41</v>
      </c>
      <c r="C34" s="19">
        <v>928.38499999999999</v>
      </c>
      <c r="D34" s="19">
        <v>0</v>
      </c>
      <c r="E34" s="19">
        <v>2352.2739999999999</v>
      </c>
      <c r="F34" s="19">
        <v>6438.99</v>
      </c>
      <c r="G34" s="19">
        <v>246.78899999999999</v>
      </c>
      <c r="H34" s="19">
        <v>1740.944</v>
      </c>
      <c r="I34" s="19">
        <v>0</v>
      </c>
      <c r="J34" s="19">
        <v>0</v>
      </c>
      <c r="K34" s="19">
        <v>283000.21799999999</v>
      </c>
      <c r="L34" s="19">
        <v>55338.222000000002</v>
      </c>
      <c r="M34" s="178">
        <f t="shared" si="0"/>
        <v>350045.82199999999</v>
      </c>
    </row>
    <row r="35" spans="1:13" ht="5.25" customHeight="1" x14ac:dyDescent="0.2">
      <c r="A35" s="20"/>
      <c r="B35" s="20"/>
      <c r="C35" s="20"/>
      <c r="D35" s="20"/>
      <c r="E35" s="20"/>
      <c r="F35" s="20"/>
      <c r="G35" s="166"/>
      <c r="H35" s="20"/>
      <c r="I35" s="20"/>
      <c r="J35" s="20"/>
      <c r="K35" s="20"/>
      <c r="L35" s="20"/>
      <c r="M35" s="20"/>
    </row>
    <row r="36" spans="1:13" ht="17.100000000000001" customHeight="1" x14ac:dyDescent="0.2">
      <c r="A36" s="21" t="s">
        <v>13</v>
      </c>
      <c r="B36" s="21"/>
      <c r="C36" s="22">
        <f t="shared" ref="C36:H36" si="1">SUM(C5:C34)</f>
        <v>3516482.9230000004</v>
      </c>
      <c r="D36" s="22">
        <f t="shared" si="1"/>
        <v>1167395.3499900005</v>
      </c>
      <c r="E36" s="22">
        <f t="shared" si="1"/>
        <v>57485.212182019997</v>
      </c>
      <c r="F36" s="22">
        <f t="shared" si="1"/>
        <v>9049245.2320000026</v>
      </c>
      <c r="G36" s="22">
        <f t="shared" si="1"/>
        <v>51528.669999999991</v>
      </c>
      <c r="H36" s="22">
        <f t="shared" si="1"/>
        <v>3960896.3720000004</v>
      </c>
      <c r="I36" s="22">
        <f>SUM(I5:I34)</f>
        <v>646956.33853000007</v>
      </c>
      <c r="J36" s="22">
        <f>SUM(J5:J34)</f>
        <v>59168.096660000003</v>
      </c>
      <c r="K36" s="22">
        <f>SUM(K5:K34)</f>
        <v>15967299.168999998</v>
      </c>
      <c r="L36" s="22">
        <f>SUM(L5:L34)</f>
        <v>43155408.998999991</v>
      </c>
      <c r="M36" s="22">
        <f>SUM(M5:M34)</f>
        <v>77631866.362362042</v>
      </c>
    </row>
    <row r="37" spans="1:13" x14ac:dyDescent="0.2">
      <c r="A37" s="26"/>
      <c r="B37" s="26"/>
      <c r="C37" s="26"/>
      <c r="D37"/>
      <c r="E37"/>
      <c r="F37"/>
      <c r="G37"/>
      <c r="H37"/>
      <c r="I37"/>
      <c r="J37"/>
      <c r="K37"/>
      <c r="L37"/>
      <c r="M37"/>
    </row>
    <row r="38" spans="1:13" x14ac:dyDescent="0.2">
      <c r="A38" s="23" t="s">
        <v>111</v>
      </c>
      <c r="B38" s="23"/>
      <c r="C38" s="23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x14ac:dyDescent="0.2">
      <c r="A39" s="27" t="s">
        <v>123</v>
      </c>
      <c r="B39" s="27"/>
      <c r="C39" s="27"/>
    </row>
  </sheetData>
  <mergeCells count="3">
    <mergeCell ref="A1:M1"/>
    <mergeCell ref="A2:M2"/>
    <mergeCell ref="A3:M3"/>
  </mergeCells>
  <pageMargins left="0.7" right="0.7" top="0.75" bottom="0.75" header="0.3" footer="0.3"/>
  <pageSetup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Normal="100" workbookViewId="0">
      <pane xSplit="2" ySplit="4" topLeftCell="C5" activePane="bottomRight" state="frozen"/>
      <selection activeCell="E13" sqref="E13"/>
      <selection pane="topRight" activeCell="E13" sqref="E13"/>
      <selection pane="bottomLeft" activeCell="E13" sqref="E13"/>
      <selection pane="bottomRight" activeCell="A12" sqref="A12"/>
    </sheetView>
  </sheetViews>
  <sheetFormatPr defaultRowHeight="12.75" x14ac:dyDescent="0.2"/>
  <cols>
    <col min="1" max="1" width="30.7109375" style="16" customWidth="1"/>
    <col min="2" max="2" width="22.42578125" style="16" hidden="1" customWidth="1"/>
    <col min="3" max="13" width="15.7109375" style="16" customWidth="1"/>
  </cols>
  <sheetData>
    <row r="1" spans="1:13" s="29" customFormat="1" ht="14.1" customHeight="1" x14ac:dyDescent="0.25">
      <c r="A1" s="182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s="29" customFormat="1" ht="14.1" customHeight="1" x14ac:dyDescent="0.25">
      <c r="A2" s="182" t="s">
        <v>129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4.1" customHeight="1" x14ac:dyDescent="0.2">
      <c r="A3" s="183" t="s">
        <v>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3" ht="23.1" customHeight="1" x14ac:dyDescent="0.2">
      <c r="A4" s="17"/>
      <c r="B4" s="17"/>
      <c r="C4" s="17" t="s">
        <v>139</v>
      </c>
      <c r="D4" s="17" t="s">
        <v>93</v>
      </c>
      <c r="E4" s="17" t="s">
        <v>125</v>
      </c>
      <c r="F4" s="17" t="s">
        <v>6</v>
      </c>
      <c r="G4" s="17" t="s">
        <v>126</v>
      </c>
      <c r="H4" s="17" t="s">
        <v>8</v>
      </c>
      <c r="I4" s="17" t="s">
        <v>95</v>
      </c>
      <c r="J4" s="17" t="s">
        <v>127</v>
      </c>
      <c r="K4" s="17" t="s">
        <v>97</v>
      </c>
      <c r="L4" s="17" t="s">
        <v>122</v>
      </c>
      <c r="M4" s="17" t="s">
        <v>13</v>
      </c>
    </row>
    <row r="5" spans="1:13" ht="15.95" customHeight="1" x14ac:dyDescent="0.2">
      <c r="A5" s="18" t="s">
        <v>14</v>
      </c>
      <c r="B5" s="168" t="s">
        <v>41</v>
      </c>
      <c r="C5" s="25">
        <v>9313.5360000000001</v>
      </c>
      <c r="D5" s="25">
        <v>1512.806</v>
      </c>
      <c r="E5" s="25">
        <v>1E-3</v>
      </c>
      <c r="F5" s="25">
        <v>7824.1270000000004</v>
      </c>
      <c r="G5" s="25">
        <v>0</v>
      </c>
      <c r="H5" s="25">
        <v>0</v>
      </c>
      <c r="I5" s="25">
        <v>6010.0219999999999</v>
      </c>
      <c r="J5" s="25">
        <v>22.896000000000001</v>
      </c>
      <c r="K5" s="25">
        <v>25920.544000000002</v>
      </c>
      <c r="L5" s="25">
        <v>15001.49</v>
      </c>
      <c r="M5" s="178">
        <f>SUM(C5:L5)</f>
        <v>65605.422000000006</v>
      </c>
    </row>
    <row r="6" spans="1:13" ht="15.95" customHeight="1" x14ac:dyDescent="0.2">
      <c r="A6" s="18" t="s">
        <v>15</v>
      </c>
      <c r="B6" s="168" t="s">
        <v>130</v>
      </c>
      <c r="C6" s="25">
        <v>392250</v>
      </c>
      <c r="D6" s="25">
        <v>33151.353000000003</v>
      </c>
      <c r="E6" s="25">
        <v>0</v>
      </c>
      <c r="F6" s="25">
        <v>57000</v>
      </c>
      <c r="G6" s="25">
        <v>0</v>
      </c>
      <c r="H6" s="25">
        <v>58500</v>
      </c>
      <c r="I6" s="25">
        <v>0</v>
      </c>
      <c r="J6" s="25">
        <v>2750</v>
      </c>
      <c r="K6" s="25">
        <v>198000</v>
      </c>
      <c r="L6" s="25">
        <v>219521.6</v>
      </c>
      <c r="M6" s="178">
        <f t="shared" ref="M6:M34" si="0">SUM(C6:L6)</f>
        <v>961172.95299999998</v>
      </c>
    </row>
    <row r="7" spans="1:13" ht="15.95" customHeight="1" x14ac:dyDescent="0.2">
      <c r="A7" s="18" t="s">
        <v>16</v>
      </c>
      <c r="B7" s="168" t="s">
        <v>130</v>
      </c>
      <c r="C7" s="25">
        <v>1929275</v>
      </c>
      <c r="D7" s="25">
        <v>161999.21</v>
      </c>
      <c r="E7" s="25">
        <v>1100</v>
      </c>
      <c r="F7" s="25">
        <v>129253.053</v>
      </c>
      <c r="G7" s="25">
        <v>751</v>
      </c>
      <c r="H7" s="25">
        <v>340300</v>
      </c>
      <c r="I7" s="25">
        <v>0</v>
      </c>
      <c r="J7" s="25">
        <v>0</v>
      </c>
      <c r="K7" s="25">
        <v>1415000</v>
      </c>
      <c r="L7" s="25">
        <v>439652.53499999997</v>
      </c>
      <c r="M7" s="178">
        <f t="shared" si="0"/>
        <v>4417330.7979999995</v>
      </c>
    </row>
    <row r="8" spans="1:13" ht="15.95" customHeight="1" x14ac:dyDescent="0.2">
      <c r="A8" s="18" t="s">
        <v>17</v>
      </c>
      <c r="B8" s="168" t="s">
        <v>130</v>
      </c>
      <c r="C8" s="25">
        <v>8760.4940000000006</v>
      </c>
      <c r="D8" s="25">
        <v>8439.57</v>
      </c>
      <c r="E8" s="25">
        <v>2E-3</v>
      </c>
      <c r="F8" s="25">
        <v>6634.2070000000003</v>
      </c>
      <c r="G8" s="25">
        <v>0.31</v>
      </c>
      <c r="H8" s="25">
        <v>6711.0219999999999</v>
      </c>
      <c r="I8" s="25">
        <v>2313.0970000000002</v>
      </c>
      <c r="J8" s="25">
        <v>569.197</v>
      </c>
      <c r="K8" s="25">
        <v>36513.9</v>
      </c>
      <c r="L8" s="25">
        <v>31159.207999999999</v>
      </c>
      <c r="M8" s="178">
        <f t="shared" si="0"/>
        <v>101101.007</v>
      </c>
    </row>
    <row r="9" spans="1:13" ht="15.95" customHeight="1" x14ac:dyDescent="0.2">
      <c r="A9" s="18" t="s">
        <v>18</v>
      </c>
      <c r="B9" s="168" t="s">
        <v>18</v>
      </c>
      <c r="C9" s="25">
        <v>1E-3</v>
      </c>
      <c r="D9" s="25">
        <v>6291.3040000000001</v>
      </c>
      <c r="E9" s="25">
        <v>0</v>
      </c>
      <c r="F9" s="25">
        <v>75</v>
      </c>
      <c r="G9" s="25">
        <v>0</v>
      </c>
      <c r="H9" s="25">
        <v>0</v>
      </c>
      <c r="I9" s="25">
        <v>0</v>
      </c>
      <c r="J9" s="25">
        <v>0</v>
      </c>
      <c r="K9" s="25">
        <v>3649209.9049999998</v>
      </c>
      <c r="L9" s="25">
        <v>540625.61300000001</v>
      </c>
      <c r="M9" s="178">
        <f t="shared" si="0"/>
        <v>4196201.8229999999</v>
      </c>
    </row>
    <row r="10" spans="1:13" ht="15.95" customHeight="1" x14ac:dyDescent="0.2">
      <c r="A10" s="18" t="s">
        <v>19</v>
      </c>
      <c r="B10" s="168" t="s">
        <v>131</v>
      </c>
      <c r="C10" s="25">
        <f>(5310+179820+9199406+57858330+924960)/1000</f>
        <v>68167.826000000001</v>
      </c>
      <c r="D10" s="25">
        <v>233100.63099999999</v>
      </c>
      <c r="E10" s="25">
        <v>0</v>
      </c>
      <c r="F10" s="25">
        <v>2272196.7719999999</v>
      </c>
      <c r="G10" s="25">
        <v>0</v>
      </c>
      <c r="H10" s="25">
        <v>80741.516000000003</v>
      </c>
      <c r="I10" s="25">
        <v>137407.56599999999</v>
      </c>
      <c r="J10" s="25">
        <v>0</v>
      </c>
      <c r="K10" s="25">
        <v>1489627.08</v>
      </c>
      <c r="L10" s="25">
        <v>12073567.217</v>
      </c>
      <c r="M10" s="178">
        <f t="shared" si="0"/>
        <v>16354808.607999999</v>
      </c>
    </row>
    <row r="11" spans="1:13" ht="15.95" customHeight="1" x14ac:dyDescent="0.2">
      <c r="A11" s="18" t="s">
        <v>112</v>
      </c>
      <c r="B11" s="168" t="s">
        <v>131</v>
      </c>
      <c r="C11" s="25">
        <f>(2665527+20551038+7395070+29770031+2100000+1)/1000</f>
        <v>62481.667000000001</v>
      </c>
      <c r="D11" s="25">
        <v>152708.27100000001</v>
      </c>
      <c r="E11" s="25">
        <v>30383.741999999998</v>
      </c>
      <c r="F11" s="25">
        <v>346954.27399999998</v>
      </c>
      <c r="G11" s="25">
        <v>598.28800000000001</v>
      </c>
      <c r="H11" s="25">
        <v>0</v>
      </c>
      <c r="I11" s="25">
        <v>0</v>
      </c>
      <c r="J11" s="25">
        <v>0</v>
      </c>
      <c r="K11" s="25">
        <v>462273.37699999998</v>
      </c>
      <c r="L11" s="25">
        <v>983774.65399999998</v>
      </c>
      <c r="M11" s="178">
        <f t="shared" si="0"/>
        <v>2039174.273</v>
      </c>
    </row>
    <row r="12" spans="1:13" ht="15.95" customHeight="1" x14ac:dyDescent="0.2">
      <c r="A12" s="18" t="s">
        <v>113</v>
      </c>
      <c r="B12" s="168" t="s">
        <v>132</v>
      </c>
      <c r="C12" s="25">
        <f>(35753232+11639751+1)/1000</f>
        <v>47392.983999999997</v>
      </c>
      <c r="D12" s="25">
        <v>71019.451000000001</v>
      </c>
      <c r="E12" s="25">
        <v>0</v>
      </c>
      <c r="F12" s="25">
        <v>0</v>
      </c>
      <c r="G12" s="25">
        <v>0</v>
      </c>
      <c r="H12" s="25">
        <v>0</v>
      </c>
      <c r="I12" s="25">
        <v>164909.48699999999</v>
      </c>
      <c r="J12" s="25">
        <v>0</v>
      </c>
      <c r="K12" s="25">
        <v>0</v>
      </c>
      <c r="L12" s="25">
        <v>1357898.057</v>
      </c>
      <c r="M12" s="178">
        <f t="shared" si="0"/>
        <v>1641219.9790000001</v>
      </c>
    </row>
    <row r="13" spans="1:13" ht="15.95" customHeight="1" x14ac:dyDescent="0.2">
      <c r="A13" s="18" t="s">
        <v>114</v>
      </c>
      <c r="B13" s="168" t="s">
        <v>132</v>
      </c>
      <c r="C13" s="25">
        <f>(124140837+15780230+15256550+14469355+5933786)/1000</f>
        <v>175580.758</v>
      </c>
      <c r="D13" s="25">
        <v>0</v>
      </c>
      <c r="E13" s="25">
        <v>0</v>
      </c>
      <c r="F13" s="25">
        <v>454544.80300000001</v>
      </c>
      <c r="G13" s="25">
        <v>0</v>
      </c>
      <c r="H13" s="25">
        <v>0</v>
      </c>
      <c r="I13" s="25">
        <v>0</v>
      </c>
      <c r="J13" s="25">
        <v>0</v>
      </c>
      <c r="K13" s="25">
        <v>1011.503</v>
      </c>
      <c r="L13" s="25">
        <v>7870803.5990000004</v>
      </c>
      <c r="M13" s="178">
        <f t="shared" si="0"/>
        <v>8501940.6630000006</v>
      </c>
    </row>
    <row r="14" spans="1:13" ht="15.95" customHeight="1" x14ac:dyDescent="0.2">
      <c r="A14" s="18" t="s">
        <v>102</v>
      </c>
      <c r="B14" s="168" t="s">
        <v>133</v>
      </c>
      <c r="C14" s="25">
        <v>0</v>
      </c>
      <c r="D14" s="25">
        <v>40575.688000000002</v>
      </c>
      <c r="E14" s="25">
        <v>0</v>
      </c>
      <c r="F14" s="25">
        <v>4180848.0520000001</v>
      </c>
      <c r="G14" s="25">
        <v>0</v>
      </c>
      <c r="H14" s="25">
        <v>2480765.7799999998</v>
      </c>
      <c r="I14" s="25">
        <v>0</v>
      </c>
      <c r="J14" s="25">
        <v>31815.535</v>
      </c>
      <c r="K14" s="25">
        <v>4776302.8049999997</v>
      </c>
      <c r="L14" s="25">
        <v>6077469.392</v>
      </c>
      <c r="M14" s="178">
        <f t="shared" si="0"/>
        <v>17587777.252</v>
      </c>
    </row>
    <row r="15" spans="1:13" ht="15.95" customHeight="1" x14ac:dyDescent="0.2">
      <c r="A15" s="18" t="s">
        <v>24</v>
      </c>
      <c r="B15" s="168" t="s">
        <v>133</v>
      </c>
      <c r="C15" s="25">
        <v>5.0000000000000001E-3</v>
      </c>
      <c r="D15" s="25">
        <v>61694.347999999998</v>
      </c>
      <c r="E15" s="25">
        <v>0</v>
      </c>
      <c r="F15" s="25">
        <v>20000</v>
      </c>
      <c r="G15" s="25">
        <v>0</v>
      </c>
      <c r="H15" s="25">
        <v>0</v>
      </c>
      <c r="I15" s="25">
        <v>193547.136</v>
      </c>
      <c r="J15" s="25">
        <v>0</v>
      </c>
      <c r="K15" s="25">
        <v>80845.178</v>
      </c>
      <c r="L15" s="25">
        <v>1115098.3359999999</v>
      </c>
      <c r="M15" s="178">
        <f t="shared" si="0"/>
        <v>1471185.003</v>
      </c>
    </row>
    <row r="16" spans="1:13" ht="15.95" customHeight="1" x14ac:dyDescent="0.2">
      <c r="A16" s="18" t="s">
        <v>103</v>
      </c>
      <c r="B16" s="168" t="s">
        <v>134</v>
      </c>
      <c r="C16" s="25">
        <v>194410.29</v>
      </c>
      <c r="D16" s="25">
        <v>73654.183000000005</v>
      </c>
      <c r="E16" s="25">
        <v>720.58900000000006</v>
      </c>
      <c r="F16" s="25">
        <v>385135.77899999998</v>
      </c>
      <c r="G16" s="25">
        <v>7240.2759999999998</v>
      </c>
      <c r="H16" s="25">
        <v>86303.131999999998</v>
      </c>
      <c r="I16" s="25">
        <v>46796.834000000003</v>
      </c>
      <c r="J16" s="25">
        <v>0</v>
      </c>
      <c r="K16" s="25">
        <v>1193573.227</v>
      </c>
      <c r="L16" s="25">
        <v>3351185.9780000001</v>
      </c>
      <c r="M16" s="178">
        <f t="shared" si="0"/>
        <v>5339020.2880000006</v>
      </c>
    </row>
    <row r="17" spans="1:13" ht="15.95" customHeight="1" x14ac:dyDescent="0.2">
      <c r="A17" s="18" t="s">
        <v>26</v>
      </c>
      <c r="B17" s="168" t="s">
        <v>134</v>
      </c>
      <c r="C17" s="25">
        <v>0</v>
      </c>
      <c r="D17" s="25">
        <v>0</v>
      </c>
      <c r="E17" s="25">
        <v>0</v>
      </c>
      <c r="F17" s="25">
        <v>6505.1589999999997</v>
      </c>
      <c r="G17" s="25">
        <v>16.463000000000001</v>
      </c>
      <c r="H17" s="25">
        <v>0</v>
      </c>
      <c r="I17" s="25">
        <v>0</v>
      </c>
      <c r="J17" s="25">
        <v>0</v>
      </c>
      <c r="K17" s="25">
        <v>1206.71</v>
      </c>
      <c r="L17" s="25">
        <v>1328098.095</v>
      </c>
      <c r="M17" s="178">
        <f t="shared" si="0"/>
        <v>1335826.4269999999</v>
      </c>
    </row>
    <row r="18" spans="1:13" ht="15.95" customHeight="1" x14ac:dyDescent="0.2">
      <c r="A18" s="18" t="s">
        <v>104</v>
      </c>
      <c r="B18" s="168" t="s">
        <v>134</v>
      </c>
      <c r="C18" s="25">
        <v>10601.424000000001</v>
      </c>
      <c r="D18" s="25">
        <v>24087.438999999998</v>
      </c>
      <c r="E18" s="25">
        <v>21.762</v>
      </c>
      <c r="F18" s="25">
        <v>16184.532999999999</v>
      </c>
      <c r="G18" s="25">
        <v>94.119</v>
      </c>
      <c r="H18" s="25">
        <v>45130.798999999999</v>
      </c>
      <c r="I18" s="25">
        <v>8649.5910000000003</v>
      </c>
      <c r="J18" s="25">
        <v>110.48699999999999</v>
      </c>
      <c r="K18" s="25">
        <v>93213.820999999996</v>
      </c>
      <c r="L18" s="25">
        <v>77834.91</v>
      </c>
      <c r="M18" s="178">
        <f t="shared" si="0"/>
        <v>275928.88500000001</v>
      </c>
    </row>
    <row r="19" spans="1:13" ht="15.95" customHeight="1" x14ac:dyDescent="0.2">
      <c r="A19" s="18" t="s">
        <v>28</v>
      </c>
      <c r="B19" s="168" t="s">
        <v>134</v>
      </c>
      <c r="C19" s="25">
        <v>0</v>
      </c>
      <c r="D19" s="25">
        <v>0</v>
      </c>
      <c r="E19" s="25">
        <v>0</v>
      </c>
      <c r="F19" s="25">
        <v>30590.312000000002</v>
      </c>
      <c r="G19" s="25">
        <v>0</v>
      </c>
      <c r="H19" s="25">
        <v>0</v>
      </c>
      <c r="I19" s="25">
        <v>0</v>
      </c>
      <c r="J19" s="25">
        <v>0</v>
      </c>
      <c r="K19" s="25">
        <v>247717.54399999999</v>
      </c>
      <c r="L19" s="25">
        <v>9036.0789999999997</v>
      </c>
      <c r="M19" s="178">
        <f t="shared" si="0"/>
        <v>287343.935</v>
      </c>
    </row>
    <row r="20" spans="1:13" ht="15.95" customHeight="1" x14ac:dyDescent="0.2">
      <c r="A20" s="18" t="s">
        <v>29</v>
      </c>
      <c r="B20" s="168" t="s">
        <v>134</v>
      </c>
      <c r="C20" s="25">
        <v>908.97799999999995</v>
      </c>
      <c r="D20" s="25">
        <v>0</v>
      </c>
      <c r="E20" s="25">
        <v>0</v>
      </c>
      <c r="F20" s="25">
        <v>0</v>
      </c>
      <c r="G20" s="25">
        <v>224.12799999999999</v>
      </c>
      <c r="H20" s="25">
        <v>0</v>
      </c>
      <c r="I20" s="25">
        <v>0</v>
      </c>
      <c r="J20" s="25">
        <v>0</v>
      </c>
      <c r="K20" s="25">
        <v>67000</v>
      </c>
      <c r="L20" s="25">
        <v>0</v>
      </c>
      <c r="M20" s="178">
        <f t="shared" si="0"/>
        <v>68133.106</v>
      </c>
    </row>
    <row r="21" spans="1:13" ht="15.95" customHeight="1" x14ac:dyDescent="0.2">
      <c r="A21" s="18" t="s">
        <v>105</v>
      </c>
      <c r="B21" s="168" t="s">
        <v>134</v>
      </c>
      <c r="C21" s="25">
        <v>0</v>
      </c>
      <c r="D21" s="25">
        <v>965.24900000000002</v>
      </c>
      <c r="E21" s="25">
        <v>0</v>
      </c>
      <c r="F21" s="25">
        <v>44479.091999999997</v>
      </c>
      <c r="G21" s="25">
        <v>0</v>
      </c>
      <c r="H21" s="25">
        <v>0</v>
      </c>
      <c r="I21" s="25">
        <v>0</v>
      </c>
      <c r="J21" s="25">
        <v>0</v>
      </c>
      <c r="K21" s="25">
        <v>3986.7840000000001</v>
      </c>
      <c r="L21" s="25">
        <v>51033.535000000003</v>
      </c>
      <c r="M21" s="178">
        <f t="shared" si="0"/>
        <v>100464.66</v>
      </c>
    </row>
    <row r="22" spans="1:13" ht="15.95" customHeight="1" x14ac:dyDescent="0.2">
      <c r="A22" s="18" t="s">
        <v>106</v>
      </c>
      <c r="B22" s="168" t="s">
        <v>134</v>
      </c>
      <c r="C22" s="25">
        <v>0</v>
      </c>
      <c r="D22" s="25">
        <v>21200</v>
      </c>
      <c r="E22" s="25">
        <v>0</v>
      </c>
      <c r="F22" s="25">
        <v>52880.404000000002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26939.232</v>
      </c>
      <c r="M22" s="178">
        <f t="shared" si="0"/>
        <v>101019.63600000001</v>
      </c>
    </row>
    <row r="23" spans="1:13" ht="15.95" customHeight="1" x14ac:dyDescent="0.2">
      <c r="A23" s="18" t="s">
        <v>115</v>
      </c>
      <c r="B23" s="168" t="s">
        <v>134</v>
      </c>
      <c r="C23" s="25">
        <v>0</v>
      </c>
      <c r="D23" s="25">
        <v>29000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125029.72</v>
      </c>
      <c r="M23" s="178">
        <f t="shared" si="0"/>
        <v>154029.72</v>
      </c>
    </row>
    <row r="24" spans="1:13" ht="15.95" customHeight="1" x14ac:dyDescent="0.2">
      <c r="A24" s="18" t="s">
        <v>32</v>
      </c>
      <c r="B24" s="168" t="s">
        <v>135</v>
      </c>
      <c r="C24" s="25">
        <v>20</v>
      </c>
      <c r="D24" s="25">
        <v>19.491</v>
      </c>
      <c r="E24" s="25">
        <v>0</v>
      </c>
      <c r="F24" s="25">
        <v>7.74</v>
      </c>
      <c r="G24" s="25">
        <v>0.44400000000000001</v>
      </c>
      <c r="H24" s="25">
        <v>0</v>
      </c>
      <c r="I24" s="25">
        <v>22.498000000000001</v>
      </c>
      <c r="J24" s="25">
        <v>3530.7959999999998</v>
      </c>
      <c r="K24" s="25">
        <v>3672.989</v>
      </c>
      <c r="L24" s="25">
        <v>24.5</v>
      </c>
      <c r="M24" s="178">
        <f t="shared" si="0"/>
        <v>7298.4580000000005</v>
      </c>
    </row>
    <row r="25" spans="1:13" ht="15.95" customHeight="1" x14ac:dyDescent="0.2">
      <c r="A25" s="18" t="s">
        <v>107</v>
      </c>
      <c r="B25" s="168" t="s">
        <v>135</v>
      </c>
      <c r="C25" s="25">
        <v>149475.08100000001</v>
      </c>
      <c r="D25" s="25">
        <v>65262.555</v>
      </c>
      <c r="E25" s="25">
        <v>4966.2020000000002</v>
      </c>
      <c r="F25" s="25">
        <v>21053.420999999998</v>
      </c>
      <c r="G25" s="25">
        <v>29174.628000000001</v>
      </c>
      <c r="H25" s="25">
        <v>205024.34</v>
      </c>
      <c r="I25" s="25">
        <v>89547.111999999994</v>
      </c>
      <c r="J25" s="25">
        <v>5471.7489999999998</v>
      </c>
      <c r="K25" s="25">
        <v>227421.02499999999</v>
      </c>
      <c r="L25" s="25">
        <v>428195.09</v>
      </c>
      <c r="M25" s="178">
        <f t="shared" si="0"/>
        <v>1225591.203</v>
      </c>
    </row>
    <row r="26" spans="1:13" ht="15.95" customHeight="1" x14ac:dyDescent="0.2">
      <c r="A26" s="18" t="s">
        <v>34</v>
      </c>
      <c r="B26" s="168" t="s">
        <v>135</v>
      </c>
      <c r="C26" s="25">
        <v>0</v>
      </c>
      <c r="D26" s="25">
        <v>4391.0990000000002</v>
      </c>
      <c r="E26" s="25">
        <v>10000</v>
      </c>
      <c r="F26" s="25">
        <v>205430.462</v>
      </c>
      <c r="G26" s="25">
        <v>12260</v>
      </c>
      <c r="H26" s="25">
        <v>175180</v>
      </c>
      <c r="I26" s="25">
        <v>0</v>
      </c>
      <c r="J26" s="25">
        <v>10550</v>
      </c>
      <c r="K26" s="25">
        <v>231400.459</v>
      </c>
      <c r="L26" s="25">
        <v>3023393.3470000001</v>
      </c>
      <c r="M26" s="178">
        <f t="shared" si="0"/>
        <v>3672605.3670000001</v>
      </c>
    </row>
    <row r="27" spans="1:13" ht="15.95" customHeight="1" x14ac:dyDescent="0.2">
      <c r="A27" s="18" t="s">
        <v>108</v>
      </c>
      <c r="B27" s="168" t="s">
        <v>135</v>
      </c>
      <c r="C27" s="25">
        <v>21836</v>
      </c>
      <c r="D27" s="25">
        <v>0</v>
      </c>
      <c r="E27" s="25">
        <v>12316.147999999999</v>
      </c>
      <c r="F27" s="25">
        <v>0</v>
      </c>
      <c r="G27" s="25">
        <v>0</v>
      </c>
      <c r="H27" s="25">
        <v>10000</v>
      </c>
      <c r="I27" s="25">
        <v>0</v>
      </c>
      <c r="J27" s="25">
        <v>0</v>
      </c>
      <c r="K27" s="25">
        <v>220858.00200000001</v>
      </c>
      <c r="L27" s="25">
        <v>1699584.675</v>
      </c>
      <c r="M27" s="178">
        <f t="shared" si="0"/>
        <v>1964594.8250000002</v>
      </c>
    </row>
    <row r="28" spans="1:13" ht="15.95" customHeight="1" x14ac:dyDescent="0.2">
      <c r="A28" s="18" t="s">
        <v>109</v>
      </c>
      <c r="B28" s="168" t="s">
        <v>134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10936.24488</v>
      </c>
      <c r="J28" s="25">
        <v>0</v>
      </c>
      <c r="K28" s="25">
        <v>0</v>
      </c>
      <c r="L28" s="25">
        <v>152126.53</v>
      </c>
      <c r="M28" s="178">
        <f t="shared" si="0"/>
        <v>163062.77488000001</v>
      </c>
    </row>
    <row r="29" spans="1:13" ht="15.95" customHeight="1" x14ac:dyDescent="0.2">
      <c r="A29" s="18" t="s">
        <v>116</v>
      </c>
      <c r="B29" s="168" t="s">
        <v>134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653.27155000000005</v>
      </c>
      <c r="J29" s="25">
        <v>0</v>
      </c>
      <c r="K29" s="25">
        <v>0</v>
      </c>
      <c r="L29" s="25">
        <v>18168.019</v>
      </c>
      <c r="M29" s="178">
        <f t="shared" si="0"/>
        <v>18821.290550000002</v>
      </c>
    </row>
    <row r="30" spans="1:13" ht="15.95" customHeight="1" x14ac:dyDescent="0.2">
      <c r="A30" s="18" t="s">
        <v>117</v>
      </c>
      <c r="B30" s="168" t="s">
        <v>134</v>
      </c>
      <c r="C30" s="25">
        <v>18561.282999999999</v>
      </c>
      <c r="D30" s="25">
        <v>0</v>
      </c>
      <c r="E30" s="25">
        <v>142.417</v>
      </c>
      <c r="F30" s="25">
        <v>18525.41</v>
      </c>
      <c r="G30" s="25">
        <v>436.51799999999997</v>
      </c>
      <c r="H30" s="25">
        <v>8138.9189999999999</v>
      </c>
      <c r="I30" s="25">
        <v>562.98766000000001</v>
      </c>
      <c r="J30" s="25">
        <v>0</v>
      </c>
      <c r="K30" s="25">
        <v>3843.3009999999999</v>
      </c>
      <c r="L30" s="25">
        <v>298799.11700000003</v>
      </c>
      <c r="M30" s="178">
        <f t="shared" si="0"/>
        <v>349009.95266000001</v>
      </c>
    </row>
    <row r="31" spans="1:13" ht="15.95" customHeight="1" x14ac:dyDescent="0.2">
      <c r="A31" s="18" t="s">
        <v>110</v>
      </c>
      <c r="B31" s="168" t="s">
        <v>134</v>
      </c>
      <c r="C31" s="25">
        <v>1284.617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15708.459939999999</v>
      </c>
      <c r="J31" s="25">
        <v>0</v>
      </c>
      <c r="K31" s="25">
        <v>137419.22099999999</v>
      </c>
      <c r="L31" s="25">
        <v>8943.3889999999992</v>
      </c>
      <c r="M31" s="178">
        <f t="shared" si="0"/>
        <v>163355.68693999999</v>
      </c>
    </row>
    <row r="32" spans="1:13" ht="15.95" customHeight="1" x14ac:dyDescent="0.2">
      <c r="A32" s="18" t="s">
        <v>37</v>
      </c>
      <c r="B32" s="168" t="s">
        <v>134</v>
      </c>
      <c r="C32" s="25">
        <v>151056.655</v>
      </c>
      <c r="D32" s="25">
        <v>1166.7360000000001</v>
      </c>
      <c r="E32" s="25">
        <v>0</v>
      </c>
      <c r="F32" s="25">
        <v>3989.0889999999999</v>
      </c>
      <c r="G32" s="25">
        <v>0</v>
      </c>
      <c r="H32" s="25">
        <v>286941.69300000003</v>
      </c>
      <c r="I32" s="25">
        <v>435.512</v>
      </c>
      <c r="J32" s="25">
        <v>0</v>
      </c>
      <c r="K32" s="25">
        <v>145988.65900000001</v>
      </c>
      <c r="L32" s="25">
        <v>51531.364999999998</v>
      </c>
      <c r="M32" s="178">
        <f t="shared" si="0"/>
        <v>641109.70900000003</v>
      </c>
    </row>
    <row r="33" spans="1:13" ht="15.95" customHeight="1" x14ac:dyDescent="0.2">
      <c r="A33" s="18" t="s">
        <v>40</v>
      </c>
      <c r="B33" s="168" t="s">
        <v>134</v>
      </c>
      <c r="C33" s="25">
        <v>44772.732000000004</v>
      </c>
      <c r="D33" s="25">
        <v>16466.636999999999</v>
      </c>
      <c r="E33" s="25">
        <v>0</v>
      </c>
      <c r="F33" s="25">
        <v>14291.364</v>
      </c>
      <c r="G33" s="25">
        <v>3577.5149999999999</v>
      </c>
      <c r="H33" s="25">
        <v>1325</v>
      </c>
      <c r="I33" s="25">
        <v>36742.773999999998</v>
      </c>
      <c r="J33" s="25">
        <v>2945.1979999999999</v>
      </c>
      <c r="K33" s="25">
        <v>143</v>
      </c>
      <c r="L33" s="25">
        <v>325474.80099999998</v>
      </c>
      <c r="M33" s="178">
        <f t="shared" si="0"/>
        <v>445739.02099999995</v>
      </c>
    </row>
    <row r="34" spans="1:13" ht="15.95" customHeight="1" x14ac:dyDescent="0.2">
      <c r="A34" s="18" t="s">
        <v>41</v>
      </c>
      <c r="B34" s="168" t="s">
        <v>41</v>
      </c>
      <c r="C34" s="25">
        <v>736.85400000000004</v>
      </c>
      <c r="D34" s="25">
        <v>0</v>
      </c>
      <c r="E34" s="25">
        <v>6940.6009999999997</v>
      </c>
      <c r="F34" s="25">
        <v>102410.318</v>
      </c>
      <c r="G34" s="25">
        <v>0</v>
      </c>
      <c r="H34" s="25">
        <v>2491.904</v>
      </c>
      <c r="I34" s="25">
        <v>0</v>
      </c>
      <c r="J34" s="25">
        <v>0</v>
      </c>
      <c r="K34" s="25">
        <v>311364.67800000001</v>
      </c>
      <c r="L34" s="25">
        <v>54763.622000000003</v>
      </c>
      <c r="M34" s="178">
        <f t="shared" si="0"/>
        <v>478707.97699999996</v>
      </c>
    </row>
    <row r="35" spans="1:13" ht="5.25" customHeight="1" x14ac:dyDescent="0.2">
      <c r="A35" s="20"/>
      <c r="B35" s="20"/>
      <c r="C35" s="20"/>
      <c r="D35" s="20"/>
      <c r="E35" s="20"/>
      <c r="F35" s="20"/>
      <c r="G35" s="166"/>
      <c r="H35" s="20"/>
      <c r="I35" s="20"/>
      <c r="J35" s="20"/>
      <c r="K35" s="20"/>
      <c r="L35" s="20"/>
      <c r="M35" s="20"/>
    </row>
    <row r="36" spans="1:13" ht="17.100000000000001" customHeight="1" x14ac:dyDescent="0.2">
      <c r="A36" s="21" t="s">
        <v>13</v>
      </c>
      <c r="B36" s="21"/>
      <c r="C36" s="22">
        <f t="shared" ref="C36:H36" si="1">SUM(C5:C34)</f>
        <v>3286886.1849999991</v>
      </c>
      <c r="D36" s="22">
        <f t="shared" si="1"/>
        <v>1006706.0210000001</v>
      </c>
      <c r="E36" s="22">
        <f t="shared" si="1"/>
        <v>66591.463999999993</v>
      </c>
      <c r="F36" s="22">
        <f t="shared" si="1"/>
        <v>8376813.3710000012</v>
      </c>
      <c r="G36" s="22">
        <f t="shared" si="1"/>
        <v>54373.688999999998</v>
      </c>
      <c r="H36" s="22">
        <f t="shared" si="1"/>
        <v>3787554.1050000004</v>
      </c>
      <c r="I36" s="22">
        <f>SUM(I5:I34)</f>
        <v>714242.59302999987</v>
      </c>
      <c r="J36" s="22">
        <f>SUM(J5:J34)</f>
        <v>57765.858</v>
      </c>
      <c r="K36" s="22">
        <f>SUM(K5:K34)</f>
        <v>15023513.712000003</v>
      </c>
      <c r="L36" s="22">
        <f>SUM(L5:L34)</f>
        <v>41754733.705000006</v>
      </c>
      <c r="M36" s="22">
        <f>SUM(M5:M34)</f>
        <v>74129180.70302999</v>
      </c>
    </row>
    <row r="37" spans="1:13" x14ac:dyDescent="0.2">
      <c r="A37" s="26"/>
      <c r="B37" s="26"/>
      <c r="C37" s="26"/>
      <c r="D37"/>
      <c r="E37"/>
      <c r="F37"/>
      <c r="G37"/>
      <c r="H37"/>
      <c r="I37"/>
      <c r="J37"/>
      <c r="K37"/>
      <c r="L37"/>
      <c r="M37"/>
    </row>
    <row r="38" spans="1:13" x14ac:dyDescent="0.2">
      <c r="A38" s="23" t="s">
        <v>111</v>
      </c>
      <c r="B38" s="23"/>
      <c r="C38" s="23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x14ac:dyDescent="0.2">
      <c r="A39" s="27" t="s">
        <v>123</v>
      </c>
      <c r="B39" s="27"/>
      <c r="C39" s="27"/>
    </row>
    <row r="40" spans="1:13" x14ac:dyDescent="0.2">
      <c r="K40" s="179"/>
    </row>
  </sheetData>
  <mergeCells count="3">
    <mergeCell ref="A1:M1"/>
    <mergeCell ref="A2:M2"/>
    <mergeCell ref="A3:M3"/>
  </mergeCells>
  <pageMargins left="0.7" right="0.7" top="0.75" bottom="0.75" header="0.3" footer="0.3"/>
  <pageSetup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Normal="100" workbookViewId="0">
      <pane xSplit="1" ySplit="4" topLeftCell="C5" activePane="bottomRight" state="frozen"/>
      <selection activeCell="E15" sqref="E15"/>
      <selection pane="topRight" activeCell="E15" sqref="E15"/>
      <selection pane="bottomLeft" activeCell="E15" sqref="E15"/>
      <selection pane="bottomRight" activeCell="A3" sqref="A3:M3"/>
    </sheetView>
  </sheetViews>
  <sheetFormatPr defaultRowHeight="12.75" x14ac:dyDescent="0.2"/>
  <cols>
    <col min="1" max="1" width="30.7109375" style="16" customWidth="1"/>
    <col min="2" max="2" width="23.85546875" style="16" hidden="1" customWidth="1"/>
    <col min="3" max="13" width="15.7109375" style="16" customWidth="1"/>
    <col min="14" max="14" width="15.7109375" customWidth="1"/>
  </cols>
  <sheetData>
    <row r="1" spans="1:13" s="29" customFormat="1" ht="14.1" customHeight="1" x14ac:dyDescent="0.25">
      <c r="A1" s="182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s="29" customFormat="1" ht="14.1" customHeight="1" x14ac:dyDescent="0.25">
      <c r="A2" s="182" t="s">
        <v>121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4.1" customHeight="1" x14ac:dyDescent="0.2">
      <c r="A3" s="183" t="s">
        <v>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3" ht="23.1" customHeight="1" x14ac:dyDescent="0.2">
      <c r="A4" s="17"/>
      <c r="B4" s="17"/>
      <c r="C4" s="17" t="s">
        <v>139</v>
      </c>
      <c r="D4" s="17" t="s">
        <v>93</v>
      </c>
      <c r="E4" s="17" t="s">
        <v>125</v>
      </c>
      <c r="F4" s="17" t="s">
        <v>6</v>
      </c>
      <c r="G4" s="17" t="s">
        <v>126</v>
      </c>
      <c r="H4" s="17" t="s">
        <v>8</v>
      </c>
      <c r="I4" s="17" t="s">
        <v>95</v>
      </c>
      <c r="J4" s="17" t="s">
        <v>127</v>
      </c>
      <c r="K4" s="17" t="s">
        <v>97</v>
      </c>
      <c r="L4" s="17" t="s">
        <v>122</v>
      </c>
      <c r="M4" s="17" t="s">
        <v>13</v>
      </c>
    </row>
    <row r="5" spans="1:13" ht="15.95" customHeight="1" x14ac:dyDescent="0.2">
      <c r="A5" s="18" t="s">
        <v>14</v>
      </c>
      <c r="B5" s="169" t="s">
        <v>41</v>
      </c>
      <c r="C5" s="24">
        <v>13161.446</v>
      </c>
      <c r="D5" s="24">
        <v>524.24648999999999</v>
      </c>
      <c r="E5" s="24">
        <v>1E-3</v>
      </c>
      <c r="F5" s="24">
        <v>7681.5450000000001</v>
      </c>
      <c r="G5" s="24">
        <v>0</v>
      </c>
      <c r="H5" s="24">
        <v>0</v>
      </c>
      <c r="I5" s="24">
        <v>9048.1830000000009</v>
      </c>
      <c r="J5" s="24">
        <v>45.789400000000001</v>
      </c>
      <c r="K5" s="24">
        <v>26033.210999999999</v>
      </c>
      <c r="L5" s="24">
        <v>18789.066440000002</v>
      </c>
      <c r="M5" s="19">
        <f>SUM(C5:L5)</f>
        <v>75283.488329999993</v>
      </c>
    </row>
    <row r="6" spans="1:13" ht="15.95" customHeight="1" x14ac:dyDescent="0.2">
      <c r="A6" s="18" t="s">
        <v>15</v>
      </c>
      <c r="B6" s="168" t="s">
        <v>130</v>
      </c>
      <c r="C6" s="25">
        <v>383300</v>
      </c>
      <c r="D6" s="25">
        <v>0</v>
      </c>
      <c r="E6" s="25">
        <v>0</v>
      </c>
      <c r="F6" s="25">
        <v>50611.207999999999</v>
      </c>
      <c r="G6" s="25">
        <v>0</v>
      </c>
      <c r="H6" s="25">
        <v>58500</v>
      </c>
      <c r="I6" s="25">
        <v>0</v>
      </c>
      <c r="J6" s="25">
        <v>2300</v>
      </c>
      <c r="K6" s="25">
        <v>169226.984</v>
      </c>
      <c r="L6" s="25">
        <v>225282.82196999993</v>
      </c>
      <c r="M6" s="19">
        <f t="shared" ref="M6:M34" si="0">SUM(C6:L6)</f>
        <v>889221.01396999997</v>
      </c>
    </row>
    <row r="7" spans="1:13" ht="15.95" customHeight="1" x14ac:dyDescent="0.2">
      <c r="A7" s="18" t="s">
        <v>16</v>
      </c>
      <c r="B7" s="168" t="s">
        <v>130</v>
      </c>
      <c r="C7" s="25">
        <v>1917650</v>
      </c>
      <c r="D7" s="25">
        <v>147220.68299999999</v>
      </c>
      <c r="E7" s="25">
        <v>1100</v>
      </c>
      <c r="F7" s="25">
        <v>129253.053</v>
      </c>
      <c r="G7" s="25">
        <v>826</v>
      </c>
      <c r="H7" s="25">
        <v>337575</v>
      </c>
      <c r="I7" s="25">
        <v>0</v>
      </c>
      <c r="J7" s="25">
        <v>0</v>
      </c>
      <c r="K7" s="25">
        <v>1381500</v>
      </c>
      <c r="L7" s="25">
        <v>435981.96708000003</v>
      </c>
      <c r="M7" s="19">
        <f t="shared" si="0"/>
        <v>4351106.7030800004</v>
      </c>
    </row>
    <row r="8" spans="1:13" ht="15.95" customHeight="1" x14ac:dyDescent="0.2">
      <c r="A8" s="18" t="s">
        <v>17</v>
      </c>
      <c r="B8" s="168" t="s">
        <v>130</v>
      </c>
      <c r="C8" s="25">
        <v>11972.266</v>
      </c>
      <c r="D8" s="25">
        <v>7218.8959999999997</v>
      </c>
      <c r="E8" s="25">
        <v>2E-3</v>
      </c>
      <c r="F8" s="25">
        <v>8521.9490000000005</v>
      </c>
      <c r="G8" s="25">
        <v>0.31</v>
      </c>
      <c r="H8" s="25">
        <v>10081.031999999999</v>
      </c>
      <c r="I8" s="25">
        <v>3370.4229999999998</v>
      </c>
      <c r="J8" s="25">
        <v>674.64584099770991</v>
      </c>
      <c r="K8" s="25">
        <v>35855.222000000002</v>
      </c>
      <c r="L8" s="25">
        <v>34834.902000000002</v>
      </c>
      <c r="M8" s="19">
        <f t="shared" si="0"/>
        <v>112529.64784099773</v>
      </c>
    </row>
    <row r="9" spans="1:13" ht="15.95" customHeight="1" x14ac:dyDescent="0.2">
      <c r="A9" s="18" t="s">
        <v>18</v>
      </c>
      <c r="B9" s="168" t="s">
        <v>18</v>
      </c>
      <c r="C9" s="25">
        <v>1E-3</v>
      </c>
      <c r="D9" s="25">
        <v>5300.6617999999999</v>
      </c>
      <c r="E9" s="25">
        <v>0</v>
      </c>
      <c r="F9" s="25">
        <v>75</v>
      </c>
      <c r="G9" s="25">
        <v>0</v>
      </c>
      <c r="H9" s="25">
        <v>0</v>
      </c>
      <c r="I9" s="25">
        <v>0</v>
      </c>
      <c r="J9" s="25">
        <v>0</v>
      </c>
      <c r="K9" s="25">
        <v>3331615.1179999998</v>
      </c>
      <c r="L9" s="25">
        <v>540625.61300000001</v>
      </c>
      <c r="M9" s="19">
        <f t="shared" si="0"/>
        <v>3877616.3937999997</v>
      </c>
    </row>
    <row r="10" spans="1:13" ht="15.95" customHeight="1" x14ac:dyDescent="0.2">
      <c r="A10" s="18" t="s">
        <v>19</v>
      </c>
      <c r="B10" s="168" t="s">
        <v>131</v>
      </c>
      <c r="C10" s="25">
        <f>(5670+144900+14276105+1251648+59858330)/1000</f>
        <v>75536.653000000006</v>
      </c>
      <c r="D10" s="25">
        <v>208947.06315</v>
      </c>
      <c r="E10" s="25">
        <v>0</v>
      </c>
      <c r="F10" s="25">
        <v>2023310.996</v>
      </c>
      <c r="G10" s="25">
        <v>0</v>
      </c>
      <c r="H10" s="25">
        <v>81015.543799999999</v>
      </c>
      <c r="I10" s="25">
        <v>115157.861</v>
      </c>
      <c r="J10" s="25">
        <v>0</v>
      </c>
      <c r="K10" s="25">
        <v>1256666.3389999999</v>
      </c>
      <c r="L10" s="25">
        <v>9724669.8478020988</v>
      </c>
      <c r="M10" s="19">
        <f t="shared" si="0"/>
        <v>13485304.303752098</v>
      </c>
    </row>
    <row r="11" spans="1:13" ht="15.95" customHeight="1" x14ac:dyDescent="0.2">
      <c r="A11" s="18" t="s">
        <v>112</v>
      </c>
      <c r="B11" s="168" t="s">
        <v>131</v>
      </c>
      <c r="C11" s="25">
        <f>(2429157+20199538+6760821+27306984+2100000+1)/1000</f>
        <v>58796.500999999997</v>
      </c>
      <c r="D11" s="25">
        <v>140962.97764682042</v>
      </c>
      <c r="E11" s="25">
        <v>33236.519</v>
      </c>
      <c r="F11" s="25">
        <v>209111.14600000001</v>
      </c>
      <c r="G11" s="25">
        <v>543.88800000000003</v>
      </c>
      <c r="H11" s="25">
        <v>0</v>
      </c>
      <c r="I11" s="25">
        <v>0</v>
      </c>
      <c r="J11" s="25">
        <v>0</v>
      </c>
      <c r="K11" s="25">
        <v>453745.576</v>
      </c>
      <c r="L11" s="25">
        <v>807568.04500000004</v>
      </c>
      <c r="M11" s="19">
        <f t="shared" si="0"/>
        <v>1703964.6526468205</v>
      </c>
    </row>
    <row r="12" spans="1:13" ht="15.95" customHeight="1" x14ac:dyDescent="0.2">
      <c r="A12" s="18" t="s">
        <v>113</v>
      </c>
      <c r="B12" s="168" t="s">
        <v>132</v>
      </c>
      <c r="C12" s="25">
        <f>(37001812+22297173+1)/1000</f>
        <v>59298.985999999997</v>
      </c>
      <c r="D12" s="25">
        <v>73235.639904000025</v>
      </c>
      <c r="E12" s="25">
        <v>0</v>
      </c>
      <c r="F12" s="25">
        <v>0</v>
      </c>
      <c r="G12" s="25">
        <v>0</v>
      </c>
      <c r="H12" s="25">
        <v>0</v>
      </c>
      <c r="I12" s="25">
        <v>186483.47899999999</v>
      </c>
      <c r="J12" s="25">
        <v>0</v>
      </c>
      <c r="K12" s="25">
        <v>0</v>
      </c>
      <c r="L12" s="25">
        <v>1524707.4480000001</v>
      </c>
      <c r="M12" s="19">
        <f t="shared" si="0"/>
        <v>1843725.552904</v>
      </c>
    </row>
    <row r="13" spans="1:13" ht="15.95" customHeight="1" x14ac:dyDescent="0.2">
      <c r="A13" s="18" t="s">
        <v>114</v>
      </c>
      <c r="B13" s="168" t="s">
        <v>132</v>
      </c>
      <c r="C13" s="25">
        <f>(97904289+16069752+14787556+14756990+14197454+6083895+20362619+1857563+7021527)/1000</f>
        <v>193041.64499999999</v>
      </c>
      <c r="D13" s="25">
        <v>0</v>
      </c>
      <c r="E13" s="25">
        <v>0</v>
      </c>
      <c r="F13" s="25">
        <v>249350.71599999999</v>
      </c>
      <c r="G13" s="25">
        <v>0</v>
      </c>
      <c r="H13" s="25">
        <v>0</v>
      </c>
      <c r="I13" s="25">
        <v>0</v>
      </c>
      <c r="J13" s="25">
        <v>0</v>
      </c>
      <c r="K13" s="25">
        <v>1011.503</v>
      </c>
      <c r="L13" s="25">
        <v>5186737.974647698</v>
      </c>
      <c r="M13" s="19">
        <f t="shared" si="0"/>
        <v>5630141.8386476981</v>
      </c>
    </row>
    <row r="14" spans="1:13" ht="15.95" customHeight="1" x14ac:dyDescent="0.2">
      <c r="A14" s="18" t="s">
        <v>102</v>
      </c>
      <c r="B14" s="168" t="s">
        <v>133</v>
      </c>
      <c r="C14" s="25">
        <v>0</v>
      </c>
      <c r="D14" s="25">
        <v>14929.492</v>
      </c>
      <c r="E14" s="25">
        <v>0</v>
      </c>
      <c r="F14" s="25">
        <v>3549802.8769999999</v>
      </c>
      <c r="G14" s="25">
        <v>0</v>
      </c>
      <c r="H14" s="25">
        <v>2421873.4180000001</v>
      </c>
      <c r="I14" s="25">
        <v>0</v>
      </c>
      <c r="J14" s="25">
        <v>28777.023000000001</v>
      </c>
      <c r="K14" s="25">
        <v>4247470.2220000001</v>
      </c>
      <c r="L14" s="25">
        <v>5122402.6519999998</v>
      </c>
      <c r="M14" s="19">
        <f t="shared" si="0"/>
        <v>15385255.684</v>
      </c>
    </row>
    <row r="15" spans="1:13" ht="15.95" customHeight="1" x14ac:dyDescent="0.2">
      <c r="A15" s="18" t="s">
        <v>24</v>
      </c>
      <c r="B15" s="168" t="s">
        <v>133</v>
      </c>
      <c r="C15" s="25">
        <v>5.0000000000000001E-3</v>
      </c>
      <c r="D15" s="25">
        <v>61614.934868000018</v>
      </c>
      <c r="E15" s="25">
        <v>0</v>
      </c>
      <c r="F15" s="25">
        <v>252000</v>
      </c>
      <c r="G15" s="25">
        <v>0</v>
      </c>
      <c r="H15" s="25">
        <v>0</v>
      </c>
      <c r="I15" s="25">
        <v>134479.64300000001</v>
      </c>
      <c r="J15" s="25">
        <v>0</v>
      </c>
      <c r="K15" s="25">
        <v>68436.494000000006</v>
      </c>
      <c r="L15" s="25">
        <v>688678.85499999998</v>
      </c>
      <c r="M15" s="19">
        <f t="shared" si="0"/>
        <v>1205209.931868</v>
      </c>
    </row>
    <row r="16" spans="1:13" ht="15.95" customHeight="1" x14ac:dyDescent="0.2">
      <c r="A16" s="18" t="s">
        <v>103</v>
      </c>
      <c r="B16" s="168" t="s">
        <v>134</v>
      </c>
      <c r="C16" s="25">
        <v>179545.18100000001</v>
      </c>
      <c r="D16" s="25">
        <v>76414.845079999999</v>
      </c>
      <c r="E16" s="25">
        <v>556.81265999999994</v>
      </c>
      <c r="F16" s="25">
        <v>431651.66100000002</v>
      </c>
      <c r="G16" s="25">
        <v>8049.8320900000008</v>
      </c>
      <c r="H16" s="25">
        <v>97269.703999999998</v>
      </c>
      <c r="I16" s="25">
        <v>55662.095310000004</v>
      </c>
      <c r="J16" s="25">
        <v>0</v>
      </c>
      <c r="K16" s="25">
        <v>1238797.4750000001</v>
      </c>
      <c r="L16" s="25">
        <v>3359057.517</v>
      </c>
      <c r="M16" s="19">
        <f t="shared" si="0"/>
        <v>5447005.1231399998</v>
      </c>
    </row>
    <row r="17" spans="1:13" ht="15.95" customHeight="1" x14ac:dyDescent="0.2">
      <c r="A17" s="18" t="s">
        <v>26</v>
      </c>
      <c r="B17" s="168" t="s">
        <v>134</v>
      </c>
      <c r="C17" s="25">
        <v>0</v>
      </c>
      <c r="D17" s="25">
        <v>0</v>
      </c>
      <c r="E17" s="25">
        <v>0</v>
      </c>
      <c r="F17" s="25">
        <v>11584.367</v>
      </c>
      <c r="G17" s="25">
        <v>33.703879999999998</v>
      </c>
      <c r="H17" s="25">
        <v>0</v>
      </c>
      <c r="I17" s="25">
        <v>0</v>
      </c>
      <c r="J17" s="25">
        <v>0</v>
      </c>
      <c r="K17" s="25">
        <v>1417.394</v>
      </c>
      <c r="L17" s="25">
        <v>1667076.9920000001</v>
      </c>
      <c r="M17" s="19">
        <f t="shared" si="0"/>
        <v>1680112.4568800002</v>
      </c>
    </row>
    <row r="18" spans="1:13" ht="15.95" customHeight="1" x14ac:dyDescent="0.2">
      <c r="A18" s="18" t="s">
        <v>104</v>
      </c>
      <c r="B18" s="168" t="s">
        <v>134</v>
      </c>
      <c r="C18" s="25">
        <v>9719.3009999999995</v>
      </c>
      <c r="D18" s="25">
        <v>27696.775000000001</v>
      </c>
      <c r="E18" s="25">
        <v>292.65472999999997</v>
      </c>
      <c r="F18" s="25">
        <v>16466.866000000002</v>
      </c>
      <c r="G18" s="25">
        <v>91.403130000000004</v>
      </c>
      <c r="H18" s="25">
        <v>43384.595999999998</v>
      </c>
      <c r="I18" s="25">
        <v>20246.66</v>
      </c>
      <c r="J18" s="25">
        <v>131.16056</v>
      </c>
      <c r="K18" s="25">
        <v>94599.014999999999</v>
      </c>
      <c r="L18" s="25">
        <v>85207.945999999996</v>
      </c>
      <c r="M18" s="19">
        <f t="shared" si="0"/>
        <v>297836.37742000003</v>
      </c>
    </row>
    <row r="19" spans="1:13" ht="15.95" customHeight="1" x14ac:dyDescent="0.2">
      <c r="A19" s="18" t="s">
        <v>28</v>
      </c>
      <c r="B19" s="168" t="s">
        <v>134</v>
      </c>
      <c r="C19" s="25">
        <v>0</v>
      </c>
      <c r="D19" s="25">
        <v>0</v>
      </c>
      <c r="E19" s="25">
        <v>0</v>
      </c>
      <c r="F19" s="25">
        <v>3244.95</v>
      </c>
      <c r="G19" s="25">
        <v>0</v>
      </c>
      <c r="H19" s="25">
        <v>0</v>
      </c>
      <c r="I19" s="25">
        <v>0</v>
      </c>
      <c r="J19" s="25">
        <v>0</v>
      </c>
      <c r="K19" s="25">
        <v>276300.163</v>
      </c>
      <c r="L19" s="25">
        <v>9698.7720000000008</v>
      </c>
      <c r="M19" s="19">
        <f t="shared" si="0"/>
        <v>289243.88500000001</v>
      </c>
    </row>
    <row r="20" spans="1:13" ht="15.95" customHeight="1" x14ac:dyDescent="0.2">
      <c r="A20" s="18" t="s">
        <v>29</v>
      </c>
      <c r="B20" s="168" t="s">
        <v>134</v>
      </c>
      <c r="C20" s="25">
        <v>2100.2269999999999</v>
      </c>
      <c r="D20" s="25">
        <v>0</v>
      </c>
      <c r="E20" s="25">
        <v>0</v>
      </c>
      <c r="F20" s="25">
        <v>0</v>
      </c>
      <c r="G20" s="25">
        <v>224.12789999999998</v>
      </c>
      <c r="H20" s="25">
        <v>0</v>
      </c>
      <c r="I20" s="25">
        <v>0</v>
      </c>
      <c r="J20" s="25">
        <v>0</v>
      </c>
      <c r="K20" s="25">
        <v>67000</v>
      </c>
      <c r="L20" s="25">
        <v>0</v>
      </c>
      <c r="M20" s="19">
        <f t="shared" si="0"/>
        <v>69324.354900000006</v>
      </c>
    </row>
    <row r="21" spans="1:13" ht="15.95" customHeight="1" x14ac:dyDescent="0.2">
      <c r="A21" s="18" t="s">
        <v>105</v>
      </c>
      <c r="B21" s="168" t="s">
        <v>134</v>
      </c>
      <c r="C21" s="25">
        <v>0</v>
      </c>
      <c r="D21" s="25">
        <v>1191.03333</v>
      </c>
      <c r="E21" s="25">
        <v>0</v>
      </c>
      <c r="F21" s="25">
        <v>48783.639000000003</v>
      </c>
      <c r="G21" s="25">
        <v>0</v>
      </c>
      <c r="H21" s="25">
        <v>0</v>
      </c>
      <c r="I21" s="25">
        <v>0</v>
      </c>
      <c r="J21" s="25">
        <v>0</v>
      </c>
      <c r="K21" s="25">
        <v>2622.91</v>
      </c>
      <c r="L21" s="25">
        <v>62100.972000000002</v>
      </c>
      <c r="M21" s="19">
        <f t="shared" si="0"/>
        <v>114698.55433000001</v>
      </c>
    </row>
    <row r="22" spans="1:13" ht="15.95" customHeight="1" x14ac:dyDescent="0.2">
      <c r="A22" s="18" t="s">
        <v>106</v>
      </c>
      <c r="B22" s="168" t="s">
        <v>134</v>
      </c>
      <c r="C22" s="25">
        <v>0</v>
      </c>
      <c r="D22" s="25">
        <v>36864.553999999996</v>
      </c>
      <c r="E22" s="25">
        <v>0</v>
      </c>
      <c r="F22" s="25">
        <v>56507.944000000003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41669.53</v>
      </c>
      <c r="M22" s="19">
        <f t="shared" si="0"/>
        <v>135042.02799999999</v>
      </c>
    </row>
    <row r="23" spans="1:13" ht="15.95" customHeight="1" x14ac:dyDescent="0.2">
      <c r="A23" s="18" t="s">
        <v>115</v>
      </c>
      <c r="B23" s="168" t="s">
        <v>134</v>
      </c>
      <c r="C23" s="25">
        <v>0</v>
      </c>
      <c r="D23" s="25">
        <v>14000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19">
        <f t="shared" si="0"/>
        <v>14000</v>
      </c>
    </row>
    <row r="24" spans="1:13" ht="15.95" customHeight="1" x14ac:dyDescent="0.2">
      <c r="A24" s="18" t="s">
        <v>32</v>
      </c>
      <c r="B24" s="168" t="s">
        <v>135</v>
      </c>
      <c r="C24" s="25">
        <v>45</v>
      </c>
      <c r="D24" s="25">
        <v>-4378.1934199999996</v>
      </c>
      <c r="E24" s="25">
        <v>0</v>
      </c>
      <c r="F24" s="25">
        <v>7.74</v>
      </c>
      <c r="G24" s="25">
        <v>0.44406000000000007</v>
      </c>
      <c r="H24" s="25">
        <v>106.6585</v>
      </c>
      <c r="I24" s="25">
        <v>23.55</v>
      </c>
      <c r="J24" s="25">
        <v>310.12551999999999</v>
      </c>
      <c r="K24" s="25">
        <v>5889.7659999999996</v>
      </c>
      <c r="L24" s="25">
        <v>24.5</v>
      </c>
      <c r="M24" s="19">
        <f t="shared" si="0"/>
        <v>2029.5906599999994</v>
      </c>
    </row>
    <row r="25" spans="1:13" ht="15.95" customHeight="1" x14ac:dyDescent="0.2">
      <c r="A25" s="18" t="s">
        <v>107</v>
      </c>
      <c r="B25" s="168" t="s">
        <v>135</v>
      </c>
      <c r="C25" s="25">
        <v>94358.517000000007</v>
      </c>
      <c r="D25" s="25">
        <v>99037.873770000006</v>
      </c>
      <c r="E25" s="25">
        <v>3419.94</v>
      </c>
      <c r="F25" s="25">
        <v>20852.673999999999</v>
      </c>
      <c r="G25" s="25">
        <v>32812.708765999996</v>
      </c>
      <c r="H25" s="25">
        <v>101988.44778999999</v>
      </c>
      <c r="I25" s="25">
        <v>121974.519</v>
      </c>
      <c r="J25" s="25">
        <v>1890.3732299999999</v>
      </c>
      <c r="K25" s="25">
        <v>228727.11300000001</v>
      </c>
      <c r="L25" s="25">
        <v>598706.31700000004</v>
      </c>
      <c r="M25" s="19">
        <f t="shared" si="0"/>
        <v>1303768.4835560001</v>
      </c>
    </row>
    <row r="26" spans="1:13" ht="15.95" customHeight="1" x14ac:dyDescent="0.2">
      <c r="A26" s="18" t="s">
        <v>34</v>
      </c>
      <c r="B26" s="168" t="s">
        <v>135</v>
      </c>
      <c r="C26" s="25">
        <v>0</v>
      </c>
      <c r="D26" s="25">
        <v>2227.9664500000003</v>
      </c>
      <c r="E26" s="25">
        <v>12302.951999999999</v>
      </c>
      <c r="F26" s="25">
        <v>178164.628</v>
      </c>
      <c r="G26" s="25">
        <v>10960</v>
      </c>
      <c r="H26" s="25">
        <v>170180</v>
      </c>
      <c r="I26" s="25">
        <v>0</v>
      </c>
      <c r="J26" s="25">
        <v>10550</v>
      </c>
      <c r="K26" s="25">
        <v>434521.58199999999</v>
      </c>
      <c r="L26" s="25">
        <v>3602582.9950000001</v>
      </c>
      <c r="M26" s="19">
        <f t="shared" si="0"/>
        <v>4421490.1234499998</v>
      </c>
    </row>
    <row r="27" spans="1:13" ht="15.95" customHeight="1" x14ac:dyDescent="0.2">
      <c r="A27" s="18" t="s">
        <v>108</v>
      </c>
      <c r="B27" s="168" t="s">
        <v>135</v>
      </c>
      <c r="C27" s="25">
        <v>21200</v>
      </c>
      <c r="D27" s="25">
        <v>5919</v>
      </c>
      <c r="E27" s="25">
        <v>15816.147999999999</v>
      </c>
      <c r="F27" s="25">
        <v>0</v>
      </c>
      <c r="G27" s="25">
        <v>0</v>
      </c>
      <c r="H27" s="25">
        <v>10000</v>
      </c>
      <c r="I27" s="25">
        <v>11214.698</v>
      </c>
      <c r="J27" s="25">
        <v>4888.4498600000006</v>
      </c>
      <c r="K27" s="25">
        <v>271058.00199999998</v>
      </c>
      <c r="L27" s="25">
        <v>1815281.4040000001</v>
      </c>
      <c r="M27" s="19">
        <f t="shared" si="0"/>
        <v>2155377.7018599999</v>
      </c>
    </row>
    <row r="28" spans="1:13" ht="15.95" customHeight="1" x14ac:dyDescent="0.2">
      <c r="A28" s="18" t="s">
        <v>109</v>
      </c>
      <c r="B28" s="168" t="s">
        <v>134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26507.743999999999</v>
      </c>
      <c r="J28" s="25">
        <v>0</v>
      </c>
      <c r="K28" s="25">
        <v>0</v>
      </c>
      <c r="L28" s="25">
        <v>66407.054000000004</v>
      </c>
      <c r="M28" s="19">
        <f t="shared" si="0"/>
        <v>92914.79800000001</v>
      </c>
    </row>
    <row r="29" spans="1:13" ht="15.95" customHeight="1" x14ac:dyDescent="0.2">
      <c r="A29" s="18" t="s">
        <v>116</v>
      </c>
      <c r="B29" s="168" t="s">
        <v>134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2081.259</v>
      </c>
      <c r="J29" s="25">
        <v>0</v>
      </c>
      <c r="K29" s="25">
        <v>0</v>
      </c>
      <c r="L29" s="25">
        <v>11830.278</v>
      </c>
      <c r="M29" s="19">
        <f t="shared" si="0"/>
        <v>13911.537</v>
      </c>
    </row>
    <row r="30" spans="1:13" ht="15.95" customHeight="1" x14ac:dyDescent="0.2">
      <c r="A30" s="18" t="s">
        <v>117</v>
      </c>
      <c r="B30" s="168" t="s">
        <v>134</v>
      </c>
      <c r="C30" s="25">
        <v>18783.741000000002</v>
      </c>
      <c r="D30" s="25">
        <v>2145.2539999999999</v>
      </c>
      <c r="E30" s="25">
        <v>186.77099999999999</v>
      </c>
      <c r="F30" s="25">
        <v>12019.468999999999</v>
      </c>
      <c r="G30" s="25">
        <v>297.00769000000003</v>
      </c>
      <c r="H30" s="25">
        <v>20307.276000000002</v>
      </c>
      <c r="I30" s="25">
        <v>1445.0001000000002</v>
      </c>
      <c r="J30" s="25">
        <v>0</v>
      </c>
      <c r="K30" s="25">
        <v>2732.1419999999998</v>
      </c>
      <c r="L30" s="25">
        <v>170809.97099999999</v>
      </c>
      <c r="M30" s="19">
        <f t="shared" si="0"/>
        <v>228726.63178999998</v>
      </c>
    </row>
    <row r="31" spans="1:13" ht="15.95" customHeight="1" x14ac:dyDescent="0.2">
      <c r="A31" s="18" t="s">
        <v>110</v>
      </c>
      <c r="B31" s="168" t="s">
        <v>134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14881.407999999999</v>
      </c>
      <c r="J31" s="25">
        <v>0</v>
      </c>
      <c r="K31" s="25">
        <v>111953.90700000001</v>
      </c>
      <c r="L31" s="25">
        <v>4702.8559999999998</v>
      </c>
      <c r="M31" s="19">
        <f t="shared" si="0"/>
        <v>131538.171</v>
      </c>
    </row>
    <row r="32" spans="1:13" ht="15.95" customHeight="1" x14ac:dyDescent="0.2">
      <c r="A32" s="18" t="s">
        <v>37</v>
      </c>
      <c r="B32" s="168" t="s">
        <v>134</v>
      </c>
      <c r="C32" s="25">
        <v>217036.584</v>
      </c>
      <c r="D32" s="25">
        <v>12734.396000000001</v>
      </c>
      <c r="E32" s="25">
        <v>0</v>
      </c>
      <c r="F32" s="25">
        <v>0</v>
      </c>
      <c r="G32" s="25">
        <v>0</v>
      </c>
      <c r="H32" s="25">
        <v>0</v>
      </c>
      <c r="I32" s="25">
        <v>13647.272000000001</v>
      </c>
      <c r="J32" s="25">
        <v>0</v>
      </c>
      <c r="K32" s="25">
        <v>145226.334</v>
      </c>
      <c r="L32" s="25">
        <v>61781.447999999997</v>
      </c>
      <c r="M32" s="19">
        <f t="shared" si="0"/>
        <v>450426.03399999999</v>
      </c>
    </row>
    <row r="33" spans="1:13" ht="15.95" customHeight="1" x14ac:dyDescent="0.2">
      <c r="A33" s="18" t="s">
        <v>40</v>
      </c>
      <c r="B33" s="168" t="s">
        <v>134</v>
      </c>
      <c r="C33" s="25">
        <v>21709.776999999998</v>
      </c>
      <c r="D33" s="25">
        <v>12796.10159</v>
      </c>
      <c r="E33" s="25">
        <v>0</v>
      </c>
      <c r="F33" s="25">
        <v>12246.083000000001</v>
      </c>
      <c r="G33" s="25">
        <v>3483.6217900000001</v>
      </c>
      <c r="H33" s="25">
        <v>1205.482</v>
      </c>
      <c r="I33" s="25">
        <v>51454.576999999997</v>
      </c>
      <c r="J33" s="25">
        <v>3075.9212199999997</v>
      </c>
      <c r="K33" s="25">
        <v>168.2</v>
      </c>
      <c r="L33" s="25">
        <v>252186.84099999999</v>
      </c>
      <c r="M33" s="19">
        <f t="shared" si="0"/>
        <v>358326.60459999996</v>
      </c>
    </row>
    <row r="34" spans="1:13" ht="15.95" customHeight="1" x14ac:dyDescent="0.2">
      <c r="A34" s="18" t="s">
        <v>41</v>
      </c>
      <c r="B34" s="168" t="s">
        <v>41</v>
      </c>
      <c r="C34" s="25">
        <v>451.24400000000003</v>
      </c>
      <c r="D34" s="25">
        <v>0</v>
      </c>
      <c r="E34" s="25">
        <v>6589.35</v>
      </c>
      <c r="F34" s="25">
        <v>89432.051000000007</v>
      </c>
      <c r="G34" s="25">
        <v>0</v>
      </c>
      <c r="H34" s="25">
        <v>269608.99595999997</v>
      </c>
      <c r="I34" s="25">
        <v>0</v>
      </c>
      <c r="J34" s="25">
        <v>0</v>
      </c>
      <c r="K34" s="25">
        <f>26666436.504-26301000</f>
        <v>365436.50400000066</v>
      </c>
      <c r="L34" s="25">
        <v>41732.120000000003</v>
      </c>
      <c r="M34" s="19">
        <f t="shared" si="0"/>
        <v>773250.26496000064</v>
      </c>
    </row>
    <row r="35" spans="1:13" ht="5.2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ht="17.100000000000001" customHeight="1" x14ac:dyDescent="0.2">
      <c r="A36" s="21" t="s">
        <v>13</v>
      </c>
      <c r="B36" s="21"/>
      <c r="C36" s="22">
        <f t="shared" ref="C36:H36" si="1">SUM(C5:C34)</f>
        <v>3277707.0749999993</v>
      </c>
      <c r="D36" s="22">
        <f t="shared" si="1"/>
        <v>946604.20065882022</v>
      </c>
      <c r="E36" s="22">
        <f t="shared" si="1"/>
        <v>73501.150389999995</v>
      </c>
      <c r="F36" s="22">
        <f t="shared" si="1"/>
        <v>7360680.5619999999</v>
      </c>
      <c r="G36" s="22">
        <f t="shared" si="1"/>
        <v>57323.047305999993</v>
      </c>
      <c r="H36" s="22">
        <f t="shared" si="1"/>
        <v>3623096.15405</v>
      </c>
      <c r="I36" s="22">
        <f>SUM(I5:I34)</f>
        <v>767678.37141000002</v>
      </c>
      <c r="J36" s="22">
        <f>SUM(J5:J34)</f>
        <v>52643.488630997708</v>
      </c>
      <c r="K36" s="22">
        <f>SUM(K5:K34)</f>
        <v>14218011.176000005</v>
      </c>
      <c r="L36" s="22">
        <f>SUM(L5:L34)</f>
        <v>36161136.705939785</v>
      </c>
      <c r="M36" s="22">
        <f>SUM(M5:M34)</f>
        <v>66538381.931385614</v>
      </c>
    </row>
    <row r="37" spans="1:13" x14ac:dyDescent="0.2">
      <c r="A37" s="26"/>
      <c r="B37" s="26"/>
      <c r="C37" s="26"/>
    </row>
    <row r="38" spans="1:13" x14ac:dyDescent="0.2">
      <c r="A38" s="23" t="s">
        <v>111</v>
      </c>
      <c r="B38" s="23"/>
      <c r="C38" s="23"/>
      <c r="D38" s="26"/>
      <c r="E38" s="26"/>
      <c r="F38" s="26"/>
      <c r="G38" s="26"/>
      <c r="H38" s="26"/>
      <c r="I38" s="26"/>
      <c r="J38" s="26"/>
      <c r="K38"/>
      <c r="L38"/>
      <c r="M38" s="26"/>
    </row>
    <row r="39" spans="1:13" x14ac:dyDescent="0.2">
      <c r="A39" s="27" t="s">
        <v>123</v>
      </c>
      <c r="B39" s="27"/>
      <c r="C39" s="27"/>
      <c r="K39"/>
      <c r="L39"/>
    </row>
    <row r="40" spans="1:13" x14ac:dyDescent="0.2">
      <c r="K40"/>
      <c r="L40"/>
    </row>
    <row r="41" spans="1:13" x14ac:dyDescent="0.2">
      <c r="K41"/>
      <c r="L41"/>
    </row>
  </sheetData>
  <mergeCells count="3">
    <mergeCell ref="A1:M1"/>
    <mergeCell ref="A2:M2"/>
    <mergeCell ref="A3:M3"/>
  </mergeCells>
  <pageMargins left="0.7" right="0.7" top="0.75" bottom="0.75" header="0.3" footer="0.3"/>
  <pageSetup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I30" sqref="I30"/>
    </sheetView>
  </sheetViews>
  <sheetFormatPr defaultRowHeight="12.75" x14ac:dyDescent="0.2"/>
  <cols>
    <col min="1" max="1" width="30.140625" style="16" customWidth="1"/>
    <col min="2" max="2" width="22.7109375" style="16" hidden="1" customWidth="1"/>
    <col min="3" max="3" width="16.28515625" style="16" bestFit="1" customWidth="1"/>
    <col min="4" max="4" width="16.28515625" style="16" hidden="1" customWidth="1"/>
    <col min="5" max="5" width="13.42578125" style="16" bestFit="1" customWidth="1"/>
    <col min="6" max="6" width="14.85546875" style="16" bestFit="1" customWidth="1"/>
    <col min="7" max="7" width="16.140625" style="16" bestFit="1" customWidth="1"/>
    <col min="8" max="8" width="11.140625" style="16" bestFit="1" customWidth="1"/>
    <col min="9" max="9" width="14.85546875" style="16" bestFit="1" customWidth="1"/>
    <col min="10" max="10" width="18.85546875" style="16" bestFit="1" customWidth="1"/>
    <col min="11" max="11" width="12.7109375" style="16" bestFit="1" customWidth="1"/>
    <col min="12" max="12" width="16.28515625" style="16" bestFit="1" customWidth="1"/>
    <col min="13" max="13" width="17.85546875" style="16" bestFit="1" customWidth="1"/>
  </cols>
  <sheetData>
    <row r="1" spans="1:13" s="29" customFormat="1" ht="20.100000000000001" customHeight="1" x14ac:dyDescent="0.25">
      <c r="A1" s="182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s="29" customFormat="1" ht="20.100000000000001" customHeight="1" x14ac:dyDescent="0.25">
      <c r="A2" s="182" t="s">
        <v>120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6.5" customHeight="1" x14ac:dyDescent="0.2">
      <c r="C3" s="184" t="s">
        <v>45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ht="26.25" customHeight="1" x14ac:dyDescent="0.2">
      <c r="A4" s="17"/>
      <c r="B4" s="17"/>
      <c r="C4" s="17" t="s">
        <v>46</v>
      </c>
      <c r="D4" s="17" t="s">
        <v>47</v>
      </c>
      <c r="E4" s="17" t="s">
        <v>99</v>
      </c>
      <c r="F4" s="17" t="s">
        <v>93</v>
      </c>
      <c r="G4" s="17" t="s">
        <v>6</v>
      </c>
      <c r="H4" s="17" t="s">
        <v>100</v>
      </c>
      <c r="I4" s="17" t="s">
        <v>8</v>
      </c>
      <c r="J4" s="17" t="s">
        <v>95</v>
      </c>
      <c r="K4" s="17" t="s">
        <v>101</v>
      </c>
      <c r="L4" s="17" t="s">
        <v>97</v>
      </c>
      <c r="M4" s="17" t="s">
        <v>13</v>
      </c>
    </row>
    <row r="5" spans="1:13" ht="17.100000000000001" customHeight="1" x14ac:dyDescent="0.2">
      <c r="A5" s="18" t="s">
        <v>14</v>
      </c>
      <c r="B5" s="169" t="s">
        <v>41</v>
      </c>
      <c r="C5" s="24">
        <v>21689.46</v>
      </c>
      <c r="D5" s="24"/>
      <c r="E5" s="24">
        <v>0</v>
      </c>
      <c r="F5" s="24">
        <v>577</v>
      </c>
      <c r="G5" s="24">
        <v>9582</v>
      </c>
      <c r="H5" s="24"/>
      <c r="I5" s="24">
        <v>0</v>
      </c>
      <c r="J5" s="24">
        <v>10674.147000000001</v>
      </c>
      <c r="K5" s="24">
        <v>80</v>
      </c>
      <c r="L5" s="24">
        <v>11073.957</v>
      </c>
      <c r="M5" s="19">
        <f t="shared" ref="M5:M34" si="0">SUM(C5:L5)</f>
        <v>53676.564000000006</v>
      </c>
    </row>
    <row r="6" spans="1:13" ht="17.100000000000001" customHeight="1" x14ac:dyDescent="0.2">
      <c r="A6" s="18" t="s">
        <v>15</v>
      </c>
      <c r="B6" s="168" t="s">
        <v>130</v>
      </c>
      <c r="C6" s="25">
        <v>231044.04399999999</v>
      </c>
      <c r="D6" s="25"/>
      <c r="E6" s="25"/>
      <c r="F6" s="25">
        <v>0</v>
      </c>
      <c r="G6" s="25">
        <v>51665</v>
      </c>
      <c r="H6" s="25"/>
      <c r="I6" s="25">
        <v>56250</v>
      </c>
      <c r="J6" s="25">
        <v>0</v>
      </c>
      <c r="K6" s="25">
        <v>2350</v>
      </c>
      <c r="L6" s="25">
        <v>175012.36600000001</v>
      </c>
      <c r="M6" s="19">
        <f t="shared" si="0"/>
        <v>516321.41000000003</v>
      </c>
    </row>
    <row r="7" spans="1:13" ht="17.100000000000001" customHeight="1" x14ac:dyDescent="0.2">
      <c r="A7" s="18" t="s">
        <v>16</v>
      </c>
      <c r="B7" s="168" t="s">
        <v>130</v>
      </c>
      <c r="C7" s="25">
        <v>467871.39899999998</v>
      </c>
      <c r="D7" s="25"/>
      <c r="E7" s="25">
        <v>1100</v>
      </c>
      <c r="F7" s="25">
        <v>162402</v>
      </c>
      <c r="G7" s="25">
        <v>129253</v>
      </c>
      <c r="H7" s="25">
        <v>835</v>
      </c>
      <c r="I7" s="25">
        <v>324825</v>
      </c>
      <c r="J7" s="25">
        <v>0</v>
      </c>
      <c r="K7" s="25">
        <v>0</v>
      </c>
      <c r="L7" s="25">
        <v>1270000</v>
      </c>
      <c r="M7" s="19">
        <f t="shared" si="0"/>
        <v>2356286.3990000002</v>
      </c>
    </row>
    <row r="8" spans="1:13" ht="17.100000000000001" customHeight="1" x14ac:dyDescent="0.2">
      <c r="A8" s="18" t="s">
        <v>17</v>
      </c>
      <c r="B8" s="168" t="s">
        <v>130</v>
      </c>
      <c r="C8" s="25">
        <v>35277.565000000002</v>
      </c>
      <c r="D8" s="25"/>
      <c r="E8" s="25">
        <v>7</v>
      </c>
      <c r="F8" s="25">
        <v>6952</v>
      </c>
      <c r="G8" s="25">
        <v>10137</v>
      </c>
      <c r="H8" s="25">
        <v>0.31</v>
      </c>
      <c r="I8" s="25">
        <v>9391</v>
      </c>
      <c r="J8" s="25">
        <v>5381.9960000000001</v>
      </c>
      <c r="K8" s="25">
        <v>787.1</v>
      </c>
      <c r="L8" s="25">
        <v>36645.796999999999</v>
      </c>
      <c r="M8" s="19">
        <f t="shared" si="0"/>
        <v>104579.76800000001</v>
      </c>
    </row>
    <row r="9" spans="1:13" ht="17.100000000000001" customHeight="1" x14ac:dyDescent="0.2">
      <c r="A9" s="18" t="s">
        <v>18</v>
      </c>
      <c r="B9" s="168" t="s">
        <v>18</v>
      </c>
      <c r="C9" s="25">
        <v>540625.61300000001</v>
      </c>
      <c r="D9" s="25"/>
      <c r="E9" s="25"/>
      <c r="F9" s="25">
        <v>24167</v>
      </c>
      <c r="G9" s="25">
        <v>75</v>
      </c>
      <c r="H9" s="25"/>
      <c r="I9" s="25">
        <v>0</v>
      </c>
      <c r="J9" s="25">
        <v>0</v>
      </c>
      <c r="K9" s="25">
        <v>0</v>
      </c>
      <c r="L9" s="25">
        <v>3093314.9330000002</v>
      </c>
      <c r="M9" s="19">
        <f t="shared" si="0"/>
        <v>3658182.5460000001</v>
      </c>
    </row>
    <row r="10" spans="1:13" ht="17.100000000000001" customHeight="1" x14ac:dyDescent="0.2">
      <c r="A10" s="18" t="s">
        <v>19</v>
      </c>
      <c r="B10" s="168" t="s">
        <v>131</v>
      </c>
      <c r="C10" s="25">
        <v>8740565.1850000005</v>
      </c>
      <c r="D10" s="25"/>
      <c r="E10" s="25"/>
      <c r="F10" s="25">
        <v>555615</v>
      </c>
      <c r="G10" s="25">
        <v>2387962</v>
      </c>
      <c r="H10" s="25"/>
      <c r="I10" s="25">
        <v>108359</v>
      </c>
      <c r="J10" s="25">
        <v>128110.629</v>
      </c>
      <c r="K10" s="25"/>
      <c r="L10" s="25">
        <v>1449771.996</v>
      </c>
      <c r="M10" s="19">
        <f t="shared" si="0"/>
        <v>13370383.810000001</v>
      </c>
    </row>
    <row r="11" spans="1:13" ht="17.100000000000001" customHeight="1" x14ac:dyDescent="0.2">
      <c r="A11" s="18" t="s">
        <v>112</v>
      </c>
      <c r="B11" s="168" t="s">
        <v>131</v>
      </c>
      <c r="C11" s="25">
        <v>719713.43</v>
      </c>
      <c r="D11" s="25"/>
      <c r="E11" s="25">
        <v>31988</v>
      </c>
      <c r="F11" s="25"/>
      <c r="G11" s="25"/>
      <c r="H11" s="25">
        <v>587</v>
      </c>
      <c r="I11" s="25">
        <v>0</v>
      </c>
      <c r="J11" s="25">
        <v>250413.28599999999</v>
      </c>
      <c r="K11" s="25"/>
      <c r="L11" s="25">
        <v>166111.83100000001</v>
      </c>
      <c r="M11" s="19">
        <f t="shared" si="0"/>
        <v>1168813.547</v>
      </c>
    </row>
    <row r="12" spans="1:13" ht="17.100000000000001" customHeight="1" x14ac:dyDescent="0.2">
      <c r="A12" s="18" t="s">
        <v>113</v>
      </c>
      <c r="B12" s="168" t="s">
        <v>132</v>
      </c>
      <c r="C12" s="25">
        <v>1184411.9010000001</v>
      </c>
      <c r="D12" s="25"/>
      <c r="E12" s="25"/>
      <c r="F12" s="25"/>
      <c r="G12" s="25">
        <v>0</v>
      </c>
      <c r="H12" s="25"/>
      <c r="I12" s="25">
        <v>0</v>
      </c>
      <c r="J12" s="25">
        <v>0</v>
      </c>
      <c r="K12" s="25"/>
      <c r="L12" s="25">
        <v>0</v>
      </c>
      <c r="M12" s="19">
        <f t="shared" si="0"/>
        <v>1184411.9010000001</v>
      </c>
    </row>
    <row r="13" spans="1:13" ht="17.100000000000001" customHeight="1" x14ac:dyDescent="0.2">
      <c r="A13" s="18" t="s">
        <v>114</v>
      </c>
      <c r="B13" s="168" t="s">
        <v>132</v>
      </c>
      <c r="C13" s="25">
        <v>5324463.5080000004</v>
      </c>
      <c r="D13" s="25"/>
      <c r="E13" s="25"/>
      <c r="F13" s="25"/>
      <c r="G13" s="25">
        <v>0</v>
      </c>
      <c r="H13" s="25"/>
      <c r="I13" s="25">
        <v>0</v>
      </c>
      <c r="J13" s="25">
        <v>0</v>
      </c>
      <c r="K13" s="25"/>
      <c r="L13" s="25">
        <v>1011.503</v>
      </c>
      <c r="M13" s="19">
        <f t="shared" si="0"/>
        <v>5325475.0109999999</v>
      </c>
    </row>
    <row r="14" spans="1:13" ht="17.100000000000001" customHeight="1" x14ac:dyDescent="0.2">
      <c r="A14" s="18" t="s">
        <v>102</v>
      </c>
      <c r="B14" s="168" t="s">
        <v>133</v>
      </c>
      <c r="C14" s="25">
        <v>5640954.568</v>
      </c>
      <c r="D14" s="25"/>
      <c r="E14" s="25"/>
      <c r="F14" s="25"/>
      <c r="G14" s="25"/>
      <c r="H14" s="25"/>
      <c r="I14" s="25">
        <v>2259829</v>
      </c>
      <c r="J14" s="25">
        <v>0</v>
      </c>
      <c r="K14" s="25">
        <v>0</v>
      </c>
      <c r="L14" s="25">
        <v>3522676.5869999998</v>
      </c>
      <c r="M14" s="19">
        <f t="shared" si="0"/>
        <v>11423460.154999999</v>
      </c>
    </row>
    <row r="15" spans="1:13" ht="17.100000000000001" customHeight="1" x14ac:dyDescent="0.2">
      <c r="A15" s="18" t="s">
        <v>24</v>
      </c>
      <c r="B15" s="168" t="s">
        <v>133</v>
      </c>
      <c r="C15" s="25">
        <v>745690.33200000005</v>
      </c>
      <c r="D15" s="25"/>
      <c r="E15" s="25"/>
      <c r="F15" s="25">
        <v>57914</v>
      </c>
      <c r="G15" s="25">
        <v>3329344</v>
      </c>
      <c r="H15" s="25"/>
      <c r="I15" s="25">
        <v>0</v>
      </c>
      <c r="J15" s="25">
        <v>111500</v>
      </c>
      <c r="K15" s="25">
        <v>0</v>
      </c>
      <c r="L15" s="25">
        <v>66086.775999999998</v>
      </c>
      <c r="M15" s="19">
        <f t="shared" si="0"/>
        <v>4310535.108</v>
      </c>
    </row>
    <row r="16" spans="1:13" ht="17.100000000000001" customHeight="1" x14ac:dyDescent="0.2">
      <c r="A16" s="18" t="s">
        <v>103</v>
      </c>
      <c r="B16" s="168" t="s">
        <v>134</v>
      </c>
      <c r="C16" s="25">
        <v>3265795.22</v>
      </c>
      <c r="D16" s="25"/>
      <c r="E16" s="25">
        <v>623</v>
      </c>
      <c r="F16" s="25">
        <v>223957</v>
      </c>
      <c r="G16" s="25">
        <v>630425</v>
      </c>
      <c r="H16" s="25">
        <v>9367</v>
      </c>
      <c r="I16" s="25">
        <v>107532</v>
      </c>
      <c r="J16" s="25">
        <v>76649.898000000001</v>
      </c>
      <c r="K16" s="25">
        <v>185.4</v>
      </c>
      <c r="L16" s="25">
        <v>1205771.9879999999</v>
      </c>
      <c r="M16" s="19">
        <f t="shared" si="0"/>
        <v>5520306.506000001</v>
      </c>
    </row>
    <row r="17" spans="1:13" ht="17.100000000000001" customHeight="1" x14ac:dyDescent="0.2">
      <c r="A17" s="18" t="s">
        <v>26</v>
      </c>
      <c r="B17" s="168" t="s">
        <v>134</v>
      </c>
      <c r="C17" s="25">
        <v>1820000.939</v>
      </c>
      <c r="D17" s="25"/>
      <c r="E17" s="25"/>
      <c r="F17" s="25"/>
      <c r="G17" s="25"/>
      <c r="H17" s="25">
        <v>464</v>
      </c>
      <c r="I17" s="25">
        <v>0</v>
      </c>
      <c r="J17" s="25">
        <v>0</v>
      </c>
      <c r="K17" s="25"/>
      <c r="L17" s="25">
        <v>1691.825</v>
      </c>
      <c r="M17" s="19">
        <f t="shared" si="0"/>
        <v>1822156.764</v>
      </c>
    </row>
    <row r="18" spans="1:13" ht="17.100000000000001" customHeight="1" x14ac:dyDescent="0.2">
      <c r="A18" s="18" t="s">
        <v>104</v>
      </c>
      <c r="B18" s="168" t="s">
        <v>134</v>
      </c>
      <c r="C18" s="25">
        <v>95538.907999999996</v>
      </c>
      <c r="D18" s="25"/>
      <c r="E18" s="25">
        <v>352</v>
      </c>
      <c r="F18" s="25"/>
      <c r="G18" s="25"/>
      <c r="H18" s="25">
        <v>43</v>
      </c>
      <c r="I18" s="25">
        <v>44628</v>
      </c>
      <c r="J18" s="25">
        <v>26032.539000000001</v>
      </c>
      <c r="K18" s="25">
        <v>0</v>
      </c>
      <c r="L18" s="25">
        <v>101835.655</v>
      </c>
      <c r="M18" s="19">
        <f t="shared" si="0"/>
        <v>268430.10199999996</v>
      </c>
    </row>
    <row r="19" spans="1:13" ht="17.100000000000001" customHeight="1" x14ac:dyDescent="0.2">
      <c r="A19" s="18" t="s">
        <v>28</v>
      </c>
      <c r="B19" s="168" t="s">
        <v>134</v>
      </c>
      <c r="C19" s="25">
        <v>7619.4260000000004</v>
      </c>
      <c r="D19" s="25"/>
      <c r="E19" s="25"/>
      <c r="F19" s="25"/>
      <c r="G19" s="25"/>
      <c r="H19" s="25"/>
      <c r="I19" s="25">
        <v>522</v>
      </c>
      <c r="J19" s="25">
        <v>0</v>
      </c>
      <c r="K19" s="25">
        <v>0</v>
      </c>
      <c r="L19" s="25">
        <v>254611.035</v>
      </c>
      <c r="M19" s="19">
        <f t="shared" si="0"/>
        <v>262752.46100000001</v>
      </c>
    </row>
    <row r="20" spans="1:13" ht="17.100000000000001" customHeight="1" x14ac:dyDescent="0.2">
      <c r="A20" s="18" t="s">
        <v>29</v>
      </c>
      <c r="B20" s="168" t="s">
        <v>134</v>
      </c>
      <c r="C20" s="25">
        <v>0</v>
      </c>
      <c r="D20" s="25"/>
      <c r="E20" s="25"/>
      <c r="F20" s="25"/>
      <c r="G20" s="25"/>
      <c r="H20" s="25">
        <v>224</v>
      </c>
      <c r="I20" s="25">
        <v>0</v>
      </c>
      <c r="J20" s="25">
        <v>0</v>
      </c>
      <c r="K20" s="25">
        <v>0</v>
      </c>
      <c r="L20" s="25">
        <v>67000</v>
      </c>
      <c r="M20" s="19">
        <f t="shared" si="0"/>
        <v>67224</v>
      </c>
    </row>
    <row r="21" spans="1:13" ht="17.100000000000001" customHeight="1" x14ac:dyDescent="0.2">
      <c r="A21" s="18" t="s">
        <v>105</v>
      </c>
      <c r="B21" s="168" t="s">
        <v>134</v>
      </c>
      <c r="C21" s="25">
        <v>53972.686999999998</v>
      </c>
      <c r="D21" s="25"/>
      <c r="E21" s="25"/>
      <c r="F21" s="25"/>
      <c r="G21" s="25"/>
      <c r="H21" s="25"/>
      <c r="I21" s="25">
        <v>0</v>
      </c>
      <c r="J21" s="25">
        <v>0</v>
      </c>
      <c r="K21" s="25">
        <v>0</v>
      </c>
      <c r="L21" s="25">
        <v>4440.8789999999999</v>
      </c>
      <c r="M21" s="19">
        <f t="shared" si="0"/>
        <v>58413.565999999999</v>
      </c>
    </row>
    <row r="22" spans="1:13" ht="17.100000000000001" customHeight="1" x14ac:dyDescent="0.2">
      <c r="A22" s="18" t="s">
        <v>106</v>
      </c>
      <c r="B22" s="168" t="s">
        <v>134</v>
      </c>
      <c r="C22" s="25">
        <v>37884.983999999997</v>
      </c>
      <c r="D22" s="25"/>
      <c r="E22" s="25"/>
      <c r="F22" s="25"/>
      <c r="G22" s="25"/>
      <c r="H22" s="25"/>
      <c r="I22" s="25">
        <v>0</v>
      </c>
      <c r="J22" s="25">
        <v>0</v>
      </c>
      <c r="K22" s="25">
        <v>0</v>
      </c>
      <c r="L22" s="25">
        <v>0</v>
      </c>
      <c r="M22" s="19">
        <f t="shared" si="0"/>
        <v>37884.983999999997</v>
      </c>
    </row>
    <row r="23" spans="1:13" ht="17.100000000000001" customHeight="1" x14ac:dyDescent="0.2">
      <c r="A23" s="18" t="s">
        <v>115</v>
      </c>
      <c r="B23" s="168" t="s">
        <v>134</v>
      </c>
      <c r="C23" s="25">
        <f>0+(160936.44-42183.51)</f>
        <v>118752.93</v>
      </c>
      <c r="D23" s="25"/>
      <c r="E23" s="25"/>
      <c r="F23" s="25"/>
      <c r="G23" s="25">
        <v>0</v>
      </c>
      <c r="H23" s="25"/>
      <c r="I23" s="25">
        <v>0</v>
      </c>
      <c r="J23" s="25">
        <v>0</v>
      </c>
      <c r="K23" s="25">
        <v>0</v>
      </c>
      <c r="L23" s="25">
        <v>0</v>
      </c>
      <c r="M23" s="19">
        <f t="shared" si="0"/>
        <v>118752.93</v>
      </c>
    </row>
    <row r="24" spans="1:13" ht="17.100000000000001" customHeight="1" x14ac:dyDescent="0.2">
      <c r="A24" s="18" t="s">
        <v>32</v>
      </c>
      <c r="B24" s="168" t="s">
        <v>135</v>
      </c>
      <c r="C24" s="25">
        <v>22.7</v>
      </c>
      <c r="D24" s="25"/>
      <c r="E24" s="25">
        <v>0.38200000000000001</v>
      </c>
      <c r="F24" s="25">
        <v>235914</v>
      </c>
      <c r="G24" s="25">
        <v>167794</v>
      </c>
      <c r="H24" s="25">
        <v>0.44400000000000001</v>
      </c>
      <c r="I24" s="25">
        <v>60</v>
      </c>
      <c r="J24" s="25">
        <v>23.55</v>
      </c>
      <c r="K24" s="25">
        <v>37195</v>
      </c>
      <c r="L24" s="25">
        <v>5538.11</v>
      </c>
      <c r="M24" s="19">
        <f t="shared" si="0"/>
        <v>446548.18599999999</v>
      </c>
    </row>
    <row r="25" spans="1:13" ht="17.100000000000001" customHeight="1" x14ac:dyDescent="0.2">
      <c r="A25" s="18" t="s">
        <v>107</v>
      </c>
      <c r="B25" s="168" t="s">
        <v>135</v>
      </c>
      <c r="C25" s="25">
        <v>260741.52</v>
      </c>
      <c r="D25" s="25"/>
      <c r="E25" s="25">
        <v>7181</v>
      </c>
      <c r="F25" s="25"/>
      <c r="G25" s="25"/>
      <c r="H25" s="25">
        <v>33443</v>
      </c>
      <c r="I25" s="25">
        <v>136463</v>
      </c>
      <c r="J25" s="25">
        <v>78657.695000000007</v>
      </c>
      <c r="K25" s="25"/>
      <c r="L25" s="25">
        <v>717736.15399999998</v>
      </c>
      <c r="M25" s="19">
        <f t="shared" si="0"/>
        <v>1234222.3689999999</v>
      </c>
    </row>
    <row r="26" spans="1:13" ht="17.100000000000001" customHeight="1" x14ac:dyDescent="0.2">
      <c r="A26" s="18" t="s">
        <v>34</v>
      </c>
      <c r="B26" s="168" t="s">
        <v>135</v>
      </c>
      <c r="C26" s="25">
        <v>2268055.8960000002</v>
      </c>
      <c r="D26" s="25"/>
      <c r="E26" s="25">
        <v>12294</v>
      </c>
      <c r="F26" s="25"/>
      <c r="G26" s="25"/>
      <c r="H26" s="25">
        <v>9060</v>
      </c>
      <c r="I26" s="25">
        <v>170180</v>
      </c>
      <c r="J26" s="25">
        <v>0</v>
      </c>
      <c r="K26" s="25"/>
      <c r="L26" s="25">
        <v>1065381.578</v>
      </c>
      <c r="M26" s="19">
        <f t="shared" si="0"/>
        <v>3524971.4740000004</v>
      </c>
    </row>
    <row r="27" spans="1:13" ht="17.100000000000001" customHeight="1" x14ac:dyDescent="0.2">
      <c r="A27" s="18" t="s">
        <v>108</v>
      </c>
      <c r="B27" s="168" t="s">
        <v>135</v>
      </c>
      <c r="C27" s="25">
        <v>1694622.3859999999</v>
      </c>
      <c r="D27" s="25"/>
      <c r="E27" s="25">
        <v>17816</v>
      </c>
      <c r="F27" s="25"/>
      <c r="G27" s="25">
        <v>0</v>
      </c>
      <c r="H27" s="25"/>
      <c r="I27" s="25">
        <v>10000</v>
      </c>
      <c r="J27" s="25">
        <v>11214.698</v>
      </c>
      <c r="K27" s="25"/>
      <c r="L27" s="25">
        <v>296058.00199999998</v>
      </c>
      <c r="M27" s="19">
        <f t="shared" si="0"/>
        <v>2029711.0860000001</v>
      </c>
    </row>
    <row r="28" spans="1:13" ht="17.100000000000001" customHeight="1" x14ac:dyDescent="0.2">
      <c r="A28" s="18" t="s">
        <v>109</v>
      </c>
      <c r="B28" s="168" t="s">
        <v>134</v>
      </c>
      <c r="C28" s="25">
        <v>91711.941000000006</v>
      </c>
      <c r="D28" s="25"/>
      <c r="E28" s="25"/>
      <c r="F28" s="25"/>
      <c r="G28" s="25"/>
      <c r="H28" s="25">
        <v>353</v>
      </c>
      <c r="I28" s="25"/>
      <c r="J28" s="25">
        <v>14295.652</v>
      </c>
      <c r="K28" s="25"/>
      <c r="L28" s="25">
        <v>0</v>
      </c>
      <c r="M28" s="19">
        <f t="shared" si="0"/>
        <v>106360.59300000001</v>
      </c>
    </row>
    <row r="29" spans="1:13" ht="17.100000000000001" customHeight="1" x14ac:dyDescent="0.2">
      <c r="A29" s="18" t="s">
        <v>116</v>
      </c>
      <c r="B29" s="168" t="s">
        <v>134</v>
      </c>
      <c r="C29" s="25">
        <v>27201.941999999999</v>
      </c>
      <c r="D29" s="25"/>
      <c r="E29" s="25"/>
      <c r="F29" s="25">
        <v>0</v>
      </c>
      <c r="G29" s="25"/>
      <c r="H29" s="25"/>
      <c r="I29" s="25"/>
      <c r="J29" s="25">
        <v>40.749000000000002</v>
      </c>
      <c r="K29" s="25">
        <v>0</v>
      </c>
      <c r="L29" s="25">
        <v>0</v>
      </c>
      <c r="M29" s="19">
        <f t="shared" si="0"/>
        <v>27242.690999999999</v>
      </c>
    </row>
    <row r="30" spans="1:13" ht="17.100000000000001" customHeight="1" x14ac:dyDescent="0.2">
      <c r="A30" s="18" t="s">
        <v>117</v>
      </c>
      <c r="B30" s="168" t="s">
        <v>134</v>
      </c>
      <c r="C30" s="25">
        <f>0+(52546.567+10111.567)</f>
        <v>62658.134000000005</v>
      </c>
      <c r="D30" s="25"/>
      <c r="E30" s="25">
        <v>273</v>
      </c>
      <c r="F30" s="25">
        <v>0</v>
      </c>
      <c r="G30" s="25"/>
      <c r="H30" s="25"/>
      <c r="I30" s="25">
        <v>9096</v>
      </c>
      <c r="J30" s="25">
        <v>1251.116</v>
      </c>
      <c r="K30" s="25">
        <v>0</v>
      </c>
      <c r="L30" s="25">
        <v>8363.3739999999998</v>
      </c>
      <c r="M30" s="19">
        <f t="shared" si="0"/>
        <v>81641.623999999996</v>
      </c>
    </row>
    <row r="31" spans="1:13" ht="17.100000000000001" customHeight="1" x14ac:dyDescent="0.2">
      <c r="A31" s="18" t="s">
        <v>110</v>
      </c>
      <c r="B31" s="168" t="s">
        <v>134</v>
      </c>
      <c r="C31" s="25">
        <v>4500</v>
      </c>
      <c r="D31" s="25"/>
      <c r="E31" s="25"/>
      <c r="F31" s="25"/>
      <c r="G31" s="25">
        <v>0</v>
      </c>
      <c r="H31" s="25"/>
      <c r="I31" s="25"/>
      <c r="J31" s="25">
        <v>21574.095000000001</v>
      </c>
      <c r="K31" s="25">
        <v>0</v>
      </c>
      <c r="L31" s="25">
        <v>111913.18</v>
      </c>
      <c r="M31" s="19">
        <f t="shared" si="0"/>
        <v>137987.27499999999</v>
      </c>
    </row>
    <row r="32" spans="1:13" ht="17.100000000000001" customHeight="1" x14ac:dyDescent="0.2">
      <c r="A32" s="18" t="s">
        <v>37</v>
      </c>
      <c r="B32" s="168" t="s">
        <v>134</v>
      </c>
      <c r="C32" s="25">
        <v>71834.668999999994</v>
      </c>
      <c r="D32" s="25"/>
      <c r="E32" s="25"/>
      <c r="F32" s="25"/>
      <c r="G32" s="25">
        <v>0</v>
      </c>
      <c r="H32" s="25"/>
      <c r="I32" s="25"/>
      <c r="J32" s="25">
        <v>8329.9279999999999</v>
      </c>
      <c r="K32" s="25">
        <v>0</v>
      </c>
      <c r="L32" s="25">
        <v>162429.54300000001</v>
      </c>
      <c r="M32" s="19">
        <f t="shared" si="0"/>
        <v>242594.14</v>
      </c>
    </row>
    <row r="33" spans="1:13" ht="17.100000000000001" customHeight="1" x14ac:dyDescent="0.2">
      <c r="A33" s="18" t="s">
        <v>40</v>
      </c>
      <c r="B33" s="168" t="s">
        <v>134</v>
      </c>
      <c r="C33" s="25">
        <v>273942.62199999997</v>
      </c>
      <c r="D33" s="25"/>
      <c r="E33" s="25"/>
      <c r="F33" s="25"/>
      <c r="G33" s="25">
        <v>21483</v>
      </c>
      <c r="H33" s="25">
        <v>3829</v>
      </c>
      <c r="I33" s="25">
        <v>487</v>
      </c>
      <c r="J33" s="25">
        <v>47454.951999999997</v>
      </c>
      <c r="K33" s="25">
        <v>9013</v>
      </c>
      <c r="L33" s="25">
        <v>152.19</v>
      </c>
      <c r="M33" s="19">
        <f t="shared" si="0"/>
        <v>356361.76399999997</v>
      </c>
    </row>
    <row r="34" spans="1:13" ht="17.100000000000001" customHeight="1" x14ac:dyDescent="0.2">
      <c r="A34" s="18" t="s">
        <v>41</v>
      </c>
      <c r="B34" s="168" t="s">
        <v>41</v>
      </c>
      <c r="C34" s="25">
        <v>0</v>
      </c>
      <c r="D34" s="25"/>
      <c r="E34" s="25">
        <v>3024</v>
      </c>
      <c r="F34" s="25">
        <v>21873</v>
      </c>
      <c r="G34" s="25">
        <v>87004</v>
      </c>
      <c r="H34" s="25"/>
      <c r="I34" s="25">
        <v>241798</v>
      </c>
      <c r="J34" s="25">
        <v>0</v>
      </c>
      <c r="K34" s="25">
        <v>0</v>
      </c>
      <c r="L34" s="25">
        <v>387125.07799999998</v>
      </c>
      <c r="M34" s="19">
        <f t="shared" si="0"/>
        <v>740824.07799999998</v>
      </c>
    </row>
    <row r="35" spans="1:13" ht="5.2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ht="17.100000000000001" customHeight="1" x14ac:dyDescent="0.2">
      <c r="A36" s="21" t="s">
        <v>13</v>
      </c>
      <c r="B36" s="21"/>
      <c r="C36" s="22">
        <f>SUM(C5:C34)</f>
        <v>33807163.908999994</v>
      </c>
      <c r="D36" s="22">
        <f t="shared" ref="D36:K36" si="1">SUM(D5:D34)</f>
        <v>0</v>
      </c>
      <c r="E36" s="22">
        <f t="shared" si="1"/>
        <v>74658.381999999998</v>
      </c>
      <c r="F36" s="22">
        <f t="shared" si="1"/>
        <v>1289371</v>
      </c>
      <c r="G36" s="22">
        <f t="shared" si="1"/>
        <v>6824724</v>
      </c>
      <c r="H36" s="22">
        <f t="shared" si="1"/>
        <v>58205.754000000001</v>
      </c>
      <c r="I36" s="22">
        <f t="shared" si="1"/>
        <v>3479420</v>
      </c>
      <c r="J36" s="22">
        <f>SUM(J5:J34)</f>
        <v>791604.92999999993</v>
      </c>
      <c r="K36" s="22">
        <f t="shared" si="1"/>
        <v>49610.5</v>
      </c>
      <c r="L36" s="22">
        <f>SUM(L5:L34)</f>
        <v>14181754.336999997</v>
      </c>
      <c r="M36" s="22">
        <f>SUM(M5:M34)</f>
        <v>60556512.812000006</v>
      </c>
    </row>
    <row r="37" spans="1:13" x14ac:dyDescent="0.2">
      <c r="A37" s="26"/>
      <c r="B37" s="26"/>
    </row>
    <row r="38" spans="1:13" x14ac:dyDescent="0.2">
      <c r="A38" s="23" t="s">
        <v>111</v>
      </c>
      <c r="B38" s="23"/>
      <c r="C38" s="23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x14ac:dyDescent="0.2">
      <c r="A39" s="185"/>
      <c r="B39" s="185"/>
      <c r="C39" s="185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x14ac:dyDescent="0.2">
      <c r="A40" s="27" t="s">
        <v>123</v>
      </c>
      <c r="B40" s="27"/>
      <c r="C40" s="28"/>
      <c r="M40" s="181"/>
    </row>
    <row r="41" spans="1:13" x14ac:dyDescent="0.2">
      <c r="A41" s="28" t="s">
        <v>137</v>
      </c>
      <c r="B41" s="28"/>
    </row>
    <row r="42" spans="1:13" hidden="1" x14ac:dyDescent="0.2"/>
    <row r="43" spans="1:13" hidden="1" x14ac:dyDescent="0.2">
      <c r="L43" s="16">
        <v>387125.07799999998</v>
      </c>
    </row>
    <row r="44" spans="1:13" hidden="1" x14ac:dyDescent="0.2">
      <c r="L44" s="179">
        <v>26199999.921999998</v>
      </c>
    </row>
    <row r="45" spans="1:13" hidden="1" x14ac:dyDescent="0.2"/>
  </sheetData>
  <mergeCells count="4">
    <mergeCell ref="A1:M1"/>
    <mergeCell ref="A2:M2"/>
    <mergeCell ref="C3:M3"/>
    <mergeCell ref="A39:C39"/>
  </mergeCells>
  <pageMargins left="0.7" right="0.7" top="0.75" bottom="0.75" header="0.3" footer="0.3"/>
  <pageSetup scale="6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pane xSplit="1" ySplit="4" topLeftCell="C31" activePane="bottomRight" state="frozen"/>
      <selection pane="topRight" activeCell="B1" sqref="B1"/>
      <selection pane="bottomLeft" activeCell="A4" sqref="A4"/>
      <selection pane="bottomRight" activeCell="B3" sqref="B1:B1048576"/>
    </sheetView>
  </sheetViews>
  <sheetFormatPr defaultRowHeight="12.75" x14ac:dyDescent="0.2"/>
  <cols>
    <col min="1" max="1" width="41.28515625" style="16" bestFit="1" customWidth="1"/>
    <col min="2" max="2" width="27.5703125" style="16" hidden="1" customWidth="1"/>
    <col min="3" max="13" width="15.7109375" style="16" customWidth="1"/>
    <col min="14" max="14" width="11.85546875" hidden="1" customWidth="1"/>
  </cols>
  <sheetData>
    <row r="1" spans="1:14" s="29" customFormat="1" ht="20.100000000000001" customHeight="1" x14ac:dyDescent="0.25">
      <c r="A1" s="182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4" s="29" customFormat="1" ht="20.100000000000001" customHeight="1" x14ac:dyDescent="0.25">
      <c r="A2" s="182" t="s">
        <v>118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4" ht="16.5" customHeight="1" x14ac:dyDescent="0.2">
      <c r="C3" s="184" t="s">
        <v>45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4" ht="26.25" customHeight="1" x14ac:dyDescent="0.2">
      <c r="A4" s="17"/>
      <c r="B4" s="17"/>
      <c r="C4" s="17" t="s">
        <v>46</v>
      </c>
      <c r="D4" s="17" t="s">
        <v>47</v>
      </c>
      <c r="E4" s="17" t="s">
        <v>99</v>
      </c>
      <c r="F4" s="17" t="s">
        <v>93</v>
      </c>
      <c r="G4" s="17" t="s">
        <v>6</v>
      </c>
      <c r="H4" s="17" t="s">
        <v>100</v>
      </c>
      <c r="I4" s="17" t="s">
        <v>8</v>
      </c>
      <c r="J4" s="17" t="s">
        <v>95</v>
      </c>
      <c r="K4" s="17" t="s">
        <v>101</v>
      </c>
      <c r="L4" s="17" t="s">
        <v>97</v>
      </c>
      <c r="M4" s="17" t="s">
        <v>13</v>
      </c>
      <c r="N4" s="17" t="s">
        <v>128</v>
      </c>
    </row>
    <row r="5" spans="1:14" ht="17.100000000000001" customHeight="1" x14ac:dyDescent="0.2">
      <c r="A5" s="18" t="s">
        <v>14</v>
      </c>
      <c r="B5" s="18" t="s">
        <v>41</v>
      </c>
      <c r="C5" s="19">
        <v>19799.707999999999</v>
      </c>
      <c r="D5" s="19">
        <v>16967.976999999999</v>
      </c>
      <c r="E5" s="19">
        <v>1E-3</v>
      </c>
      <c r="F5" s="19">
        <v>3269.1179999999999</v>
      </c>
      <c r="G5" s="19">
        <v>12841.329</v>
      </c>
      <c r="H5" s="19">
        <v>0</v>
      </c>
      <c r="I5" s="19">
        <v>0</v>
      </c>
      <c r="J5" s="19">
        <v>13469.224</v>
      </c>
      <c r="K5" s="19">
        <v>122.514</v>
      </c>
      <c r="L5" s="19">
        <v>14514.753000000001</v>
      </c>
      <c r="M5" s="19">
        <f t="shared" ref="M5:M34" si="0">SUM(C5:L5)</f>
        <v>80984.623999999982</v>
      </c>
      <c r="N5" s="19">
        <f>M5-D5</f>
        <v>64016.646999999983</v>
      </c>
    </row>
    <row r="6" spans="1:14" ht="17.100000000000001" customHeight="1" x14ac:dyDescent="0.2">
      <c r="A6" s="18" t="s">
        <v>15</v>
      </c>
      <c r="B6" s="18" t="s">
        <v>130</v>
      </c>
      <c r="C6" s="19">
        <v>182702.44500000001</v>
      </c>
      <c r="D6" s="19">
        <v>293177.75</v>
      </c>
      <c r="E6" s="19">
        <v>0</v>
      </c>
      <c r="F6" s="19">
        <v>0</v>
      </c>
      <c r="G6" s="19">
        <v>52720</v>
      </c>
      <c r="H6" s="19">
        <v>0</v>
      </c>
      <c r="I6" s="19">
        <v>56250</v>
      </c>
      <c r="J6" s="19">
        <v>0</v>
      </c>
      <c r="K6" s="19">
        <v>18300</v>
      </c>
      <c r="L6" s="19">
        <v>180640.51500000001</v>
      </c>
      <c r="M6" s="19">
        <f t="shared" si="0"/>
        <v>783790.71000000008</v>
      </c>
      <c r="N6" s="19">
        <f t="shared" ref="N6:N34" si="1">M6-D6</f>
        <v>490612.96000000008</v>
      </c>
    </row>
    <row r="7" spans="1:14" ht="17.100000000000001" customHeight="1" x14ac:dyDescent="0.2">
      <c r="A7" s="18" t="s">
        <v>16</v>
      </c>
      <c r="B7" s="18" t="s">
        <v>130</v>
      </c>
      <c r="C7" s="19">
        <v>538049.77599999995</v>
      </c>
      <c r="D7" s="19">
        <v>3388662.25</v>
      </c>
      <c r="E7" s="19">
        <v>1100</v>
      </c>
      <c r="F7" s="19">
        <v>160908.106</v>
      </c>
      <c r="G7" s="19">
        <v>129253.053</v>
      </c>
      <c r="H7" s="19">
        <v>900</v>
      </c>
      <c r="I7" s="19">
        <v>324825</v>
      </c>
      <c r="J7" s="19">
        <v>0</v>
      </c>
      <c r="K7" s="19">
        <v>0</v>
      </c>
      <c r="L7" s="19">
        <v>1101000</v>
      </c>
      <c r="M7" s="19">
        <f t="shared" si="0"/>
        <v>5644698.1850000005</v>
      </c>
      <c r="N7" s="19">
        <f t="shared" si="1"/>
        <v>2256035.9350000005</v>
      </c>
    </row>
    <row r="8" spans="1:14" ht="17.100000000000001" customHeight="1" x14ac:dyDescent="0.2">
      <c r="A8" s="18" t="s">
        <v>17</v>
      </c>
      <c r="B8" s="18" t="s">
        <v>130</v>
      </c>
      <c r="C8" s="19">
        <v>37182.472000000002</v>
      </c>
      <c r="D8" s="19">
        <v>74731.573000000004</v>
      </c>
      <c r="E8" s="19">
        <v>14.63</v>
      </c>
      <c r="F8" s="19">
        <v>4438.9380000000001</v>
      </c>
      <c r="G8" s="19">
        <v>13921.998</v>
      </c>
      <c r="H8" s="19">
        <v>8.9670000000000005</v>
      </c>
      <c r="I8" s="19">
        <v>10911.25</v>
      </c>
      <c r="J8" s="19">
        <v>5571.5789999999997</v>
      </c>
      <c r="K8" s="19">
        <v>644.23099999999999</v>
      </c>
      <c r="L8" s="19">
        <v>43861.508999999998</v>
      </c>
      <c r="M8" s="19">
        <f t="shared" si="0"/>
        <v>191287.147</v>
      </c>
      <c r="N8" s="19">
        <f t="shared" si="1"/>
        <v>116555.57399999999</v>
      </c>
    </row>
    <row r="9" spans="1:14" ht="17.100000000000001" customHeight="1" x14ac:dyDescent="0.2">
      <c r="A9" s="18" t="s">
        <v>18</v>
      </c>
      <c r="B9" s="18" t="s">
        <v>18</v>
      </c>
      <c r="C9" s="19">
        <v>540625.61300000001</v>
      </c>
      <c r="D9" s="19">
        <v>18084661.248</v>
      </c>
      <c r="E9" s="19">
        <v>0</v>
      </c>
      <c r="F9" s="19">
        <v>27257.024000000001</v>
      </c>
      <c r="G9" s="19">
        <v>75</v>
      </c>
      <c r="H9" s="19">
        <v>0</v>
      </c>
      <c r="I9" s="19">
        <v>0</v>
      </c>
      <c r="J9" s="19">
        <v>0</v>
      </c>
      <c r="K9" s="19">
        <v>0</v>
      </c>
      <c r="L9" s="19">
        <v>2382663.3930000002</v>
      </c>
      <c r="M9" s="19">
        <f t="shared" si="0"/>
        <v>21035282.278000001</v>
      </c>
      <c r="N9" s="19">
        <f t="shared" si="1"/>
        <v>2950621.0300000012</v>
      </c>
    </row>
    <row r="10" spans="1:14" ht="17.100000000000001" customHeight="1" x14ac:dyDescent="0.2">
      <c r="A10" s="18" t="s">
        <v>19</v>
      </c>
      <c r="B10" s="18" t="s">
        <v>131</v>
      </c>
      <c r="C10" s="19">
        <v>9084997.1558899991</v>
      </c>
      <c r="D10" s="19">
        <v>1511292.645</v>
      </c>
      <c r="E10" s="19">
        <v>0</v>
      </c>
      <c r="F10" s="19">
        <v>316309.70799999998</v>
      </c>
      <c r="G10" s="19">
        <v>2269042.4580000001</v>
      </c>
      <c r="H10" s="19">
        <v>1178.24</v>
      </c>
      <c r="I10" s="19">
        <v>106127.537</v>
      </c>
      <c r="J10" s="19">
        <v>78700.180999999997</v>
      </c>
      <c r="K10" s="19">
        <v>0</v>
      </c>
      <c r="L10" s="19">
        <v>1371769.0719999999</v>
      </c>
      <c r="M10" s="19">
        <f t="shared" si="0"/>
        <v>14739416.996890001</v>
      </c>
      <c r="N10" s="19">
        <f t="shared" si="1"/>
        <v>13228124.351890001</v>
      </c>
    </row>
    <row r="11" spans="1:14" ht="17.100000000000001" customHeight="1" x14ac:dyDescent="0.2">
      <c r="A11" s="18" t="s">
        <v>112</v>
      </c>
      <c r="B11" s="18" t="s">
        <v>131</v>
      </c>
      <c r="C11" s="19">
        <v>525888.76779000007</v>
      </c>
      <c r="D11" s="19">
        <v>437445.28499999997</v>
      </c>
      <c r="E11" s="19">
        <v>26522.32</v>
      </c>
      <c r="F11" s="19">
        <v>98810.111000000004</v>
      </c>
      <c r="G11" s="19">
        <v>112856.747</v>
      </c>
      <c r="H11" s="19">
        <v>0</v>
      </c>
      <c r="I11" s="19">
        <v>0</v>
      </c>
      <c r="J11" s="19">
        <v>0</v>
      </c>
      <c r="K11" s="19">
        <v>0</v>
      </c>
      <c r="L11" s="19">
        <v>171926.20800000001</v>
      </c>
      <c r="M11" s="19">
        <f t="shared" si="0"/>
        <v>1373449.43879</v>
      </c>
      <c r="N11" s="19">
        <f t="shared" si="1"/>
        <v>936004.15379000013</v>
      </c>
    </row>
    <row r="12" spans="1:14" ht="17.100000000000001" customHeight="1" x14ac:dyDescent="0.2">
      <c r="A12" s="18" t="s">
        <v>113</v>
      </c>
      <c r="B12" s="18" t="s">
        <v>132</v>
      </c>
      <c r="C12" s="19">
        <v>80832.157619999998</v>
      </c>
      <c r="D12" s="19">
        <v>429272.35600000003</v>
      </c>
      <c r="E12" s="19">
        <v>0</v>
      </c>
      <c r="F12" s="19">
        <v>93204.531000000003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f t="shared" si="0"/>
        <v>603309.04462000006</v>
      </c>
      <c r="N12" s="19">
        <f t="shared" si="1"/>
        <v>174036.68862000003</v>
      </c>
    </row>
    <row r="13" spans="1:14" ht="17.100000000000001" customHeight="1" x14ac:dyDescent="0.2">
      <c r="A13" s="18" t="s">
        <v>114</v>
      </c>
      <c r="B13" s="18" t="s">
        <v>132</v>
      </c>
      <c r="C13" s="19">
        <v>5665289.8081299998</v>
      </c>
      <c r="D13" s="19">
        <v>242969.82699999999</v>
      </c>
      <c r="E13" s="19">
        <v>0</v>
      </c>
      <c r="F13" s="19">
        <v>3520.6109999999999</v>
      </c>
      <c r="G13" s="19">
        <v>196418.58600000001</v>
      </c>
      <c r="H13" s="19">
        <v>0</v>
      </c>
      <c r="I13" s="19">
        <v>0</v>
      </c>
      <c r="J13" s="19">
        <v>195163.69399999999</v>
      </c>
      <c r="K13" s="19">
        <v>0</v>
      </c>
      <c r="L13" s="19">
        <v>1011.503</v>
      </c>
      <c r="M13" s="19">
        <f t="shared" si="0"/>
        <v>6304374.0291299988</v>
      </c>
      <c r="N13" s="19">
        <f t="shared" si="1"/>
        <v>6061404.2021299992</v>
      </c>
    </row>
    <row r="14" spans="1:14" ht="17.100000000000001" customHeight="1" x14ac:dyDescent="0.2">
      <c r="A14" s="18" t="s">
        <v>102</v>
      </c>
      <c r="B14" s="18" t="s">
        <v>133</v>
      </c>
      <c r="C14" s="19">
        <v>5154713.6153599992</v>
      </c>
      <c r="D14" s="19">
        <v>132205.96400000001</v>
      </c>
      <c r="E14" s="19">
        <v>0</v>
      </c>
      <c r="F14" s="19">
        <v>0</v>
      </c>
      <c r="G14" s="19">
        <v>2154952.7250000001</v>
      </c>
      <c r="H14" s="19">
        <v>0</v>
      </c>
      <c r="I14" s="19">
        <v>2052204.1580000001</v>
      </c>
      <c r="J14" s="19">
        <v>0</v>
      </c>
      <c r="K14" s="19">
        <v>0</v>
      </c>
      <c r="L14" s="19">
        <v>3336052.648</v>
      </c>
      <c r="M14" s="19">
        <f t="shared" si="0"/>
        <v>12830129.110359998</v>
      </c>
      <c r="N14" s="19">
        <f t="shared" si="1"/>
        <v>12697923.146359999</v>
      </c>
    </row>
    <row r="15" spans="1:14" ht="17.100000000000001" customHeight="1" x14ac:dyDescent="0.2">
      <c r="A15" s="18" t="s">
        <v>24</v>
      </c>
      <c r="B15" s="18" t="s">
        <v>133</v>
      </c>
      <c r="C15" s="19">
        <v>649115.43556999997</v>
      </c>
      <c r="D15" s="19">
        <v>90803.407999999996</v>
      </c>
      <c r="E15" s="19">
        <v>0</v>
      </c>
      <c r="F15" s="19">
        <v>54109.057000000001</v>
      </c>
      <c r="G15" s="19">
        <v>168000</v>
      </c>
      <c r="H15" s="19">
        <v>0</v>
      </c>
      <c r="I15" s="19">
        <v>0</v>
      </c>
      <c r="J15" s="19">
        <v>108477.461</v>
      </c>
      <c r="K15" s="19">
        <v>0</v>
      </c>
      <c r="L15" s="19">
        <v>49533.175999999999</v>
      </c>
      <c r="M15" s="19">
        <f t="shared" si="0"/>
        <v>1120038.5375699999</v>
      </c>
      <c r="N15" s="19">
        <f t="shared" si="1"/>
        <v>1029235.1295699999</v>
      </c>
    </row>
    <row r="16" spans="1:14" ht="17.100000000000001" customHeight="1" x14ac:dyDescent="0.2">
      <c r="A16" s="18" t="s">
        <v>103</v>
      </c>
      <c r="B16" s="18" t="s">
        <v>134</v>
      </c>
      <c r="C16" s="19">
        <v>2952177.5735300002</v>
      </c>
      <c r="D16" s="19">
        <v>218065.98199999999</v>
      </c>
      <c r="E16" s="19">
        <v>1384.39</v>
      </c>
      <c r="F16" s="19">
        <v>109908.41800000001</v>
      </c>
      <c r="G16" s="19">
        <v>555934.90800000005</v>
      </c>
      <c r="H16" s="19">
        <v>10876.529</v>
      </c>
      <c r="I16" s="19">
        <v>120443.98299999999</v>
      </c>
      <c r="J16" s="19">
        <v>93244.205000000002</v>
      </c>
      <c r="K16" s="19">
        <v>40</v>
      </c>
      <c r="L16" s="19">
        <v>1195732.885</v>
      </c>
      <c r="M16" s="19">
        <f t="shared" si="0"/>
        <v>5257808.8735300004</v>
      </c>
      <c r="N16" s="19">
        <f t="shared" si="1"/>
        <v>5039742.8915300006</v>
      </c>
    </row>
    <row r="17" spans="1:14" ht="17.100000000000001" customHeight="1" x14ac:dyDescent="0.2">
      <c r="A17" s="18" t="s">
        <v>26</v>
      </c>
      <c r="B17" s="18" t="s">
        <v>134</v>
      </c>
      <c r="C17" s="19">
        <v>1938975.0666800002</v>
      </c>
      <c r="D17" s="19">
        <v>33484.571000000004</v>
      </c>
      <c r="E17" s="19">
        <v>0</v>
      </c>
      <c r="F17" s="19">
        <v>0</v>
      </c>
      <c r="G17" s="19">
        <v>19821.076000000001</v>
      </c>
      <c r="H17" s="19">
        <v>489.99200000000002</v>
      </c>
      <c r="I17" s="19">
        <v>0</v>
      </c>
      <c r="J17" s="19">
        <v>0</v>
      </c>
      <c r="K17" s="19">
        <v>0</v>
      </c>
      <c r="L17" s="19">
        <v>1982.0909999999999</v>
      </c>
      <c r="M17" s="19">
        <f t="shared" si="0"/>
        <v>1994752.7966800001</v>
      </c>
      <c r="N17" s="19">
        <f t="shared" si="1"/>
        <v>1961268.2256800001</v>
      </c>
    </row>
    <row r="18" spans="1:14" ht="17.100000000000001" customHeight="1" x14ac:dyDescent="0.2">
      <c r="A18" s="18" t="s">
        <v>104</v>
      </c>
      <c r="B18" s="18" t="s">
        <v>134</v>
      </c>
      <c r="C18" s="19">
        <v>97149.891959999994</v>
      </c>
      <c r="D18" s="19">
        <v>243525.51800000001</v>
      </c>
      <c r="E18" s="19">
        <v>545.79300000000001</v>
      </c>
      <c r="F18" s="19">
        <v>37816.582000000002</v>
      </c>
      <c r="G18" s="19">
        <v>19000.170999999998</v>
      </c>
      <c r="H18" s="19">
        <v>38.106999999999999</v>
      </c>
      <c r="I18" s="19">
        <v>49208.548000000003</v>
      </c>
      <c r="J18" s="19">
        <v>33001.803999999996</v>
      </c>
      <c r="K18" s="19">
        <v>219.012</v>
      </c>
      <c r="L18" s="19">
        <v>121725.423</v>
      </c>
      <c r="M18" s="19">
        <f t="shared" si="0"/>
        <v>602230.84996000002</v>
      </c>
      <c r="N18" s="19">
        <f t="shared" si="1"/>
        <v>358705.33195999998</v>
      </c>
    </row>
    <row r="19" spans="1:14" ht="17.100000000000001" customHeight="1" x14ac:dyDescent="0.2">
      <c r="A19" s="18" t="s">
        <v>28</v>
      </c>
      <c r="B19" s="18" t="s">
        <v>134</v>
      </c>
      <c r="C19" s="19">
        <v>5736.82755</v>
      </c>
      <c r="D19" s="19">
        <v>0</v>
      </c>
      <c r="E19" s="19">
        <v>0</v>
      </c>
      <c r="F19" s="19">
        <v>0</v>
      </c>
      <c r="G19" s="19">
        <v>6196.4219999999996</v>
      </c>
      <c r="H19" s="19">
        <v>0</v>
      </c>
      <c r="I19" s="19">
        <v>0</v>
      </c>
      <c r="J19" s="19">
        <v>0</v>
      </c>
      <c r="K19" s="19">
        <v>0</v>
      </c>
      <c r="L19" s="19">
        <v>217090.65900000001</v>
      </c>
      <c r="M19" s="19">
        <f t="shared" si="0"/>
        <v>229023.90855000002</v>
      </c>
      <c r="N19" s="19">
        <f t="shared" si="1"/>
        <v>229023.90855000002</v>
      </c>
    </row>
    <row r="20" spans="1:14" ht="17.100000000000001" customHeight="1" x14ac:dyDescent="0.2">
      <c r="A20" s="18" t="s">
        <v>29</v>
      </c>
      <c r="B20" s="18" t="s">
        <v>134</v>
      </c>
      <c r="C20" s="19">
        <v>22320.479719999999</v>
      </c>
      <c r="D20" s="19">
        <v>0</v>
      </c>
      <c r="E20" s="19">
        <v>0</v>
      </c>
      <c r="F20" s="19">
        <v>0</v>
      </c>
      <c r="G20" s="19">
        <v>0</v>
      </c>
      <c r="H20" s="19">
        <v>224.12799999999999</v>
      </c>
      <c r="I20" s="19">
        <v>0</v>
      </c>
      <c r="J20" s="19">
        <v>0</v>
      </c>
      <c r="K20" s="19">
        <v>0</v>
      </c>
      <c r="L20" s="19">
        <v>66500</v>
      </c>
      <c r="M20" s="19">
        <f t="shared" si="0"/>
        <v>89044.60772</v>
      </c>
      <c r="N20" s="19">
        <f t="shared" si="1"/>
        <v>89044.60772</v>
      </c>
    </row>
    <row r="21" spans="1:14" ht="17.100000000000001" customHeight="1" x14ac:dyDescent="0.2">
      <c r="A21" s="18" t="s">
        <v>105</v>
      </c>
      <c r="B21" s="18" t="s">
        <v>134</v>
      </c>
      <c r="C21" s="19">
        <v>44135.453150000001</v>
      </c>
      <c r="D21" s="19">
        <v>0</v>
      </c>
      <c r="E21" s="19">
        <v>0</v>
      </c>
      <c r="F21" s="19">
        <v>343.97699999999998</v>
      </c>
      <c r="G21" s="19">
        <v>21194.101999999999</v>
      </c>
      <c r="H21" s="19">
        <v>0</v>
      </c>
      <c r="I21" s="19">
        <v>0</v>
      </c>
      <c r="J21" s="19">
        <v>0</v>
      </c>
      <c r="K21" s="19">
        <v>0</v>
      </c>
      <c r="L21" s="19">
        <v>4345.0410000000002</v>
      </c>
      <c r="M21" s="19">
        <f t="shared" si="0"/>
        <v>70018.573149999997</v>
      </c>
      <c r="N21" s="19">
        <f t="shared" si="1"/>
        <v>70018.573149999997</v>
      </c>
    </row>
    <row r="22" spans="1:14" ht="17.100000000000001" customHeight="1" x14ac:dyDescent="0.2">
      <c r="A22" s="18" t="s">
        <v>106</v>
      </c>
      <c r="B22" s="18" t="s">
        <v>134</v>
      </c>
      <c r="C22" s="19">
        <v>44785.528689999999</v>
      </c>
      <c r="D22" s="19">
        <v>6384461.7740000002</v>
      </c>
      <c r="E22" s="19">
        <v>0</v>
      </c>
      <c r="F22" s="19">
        <v>38045.392</v>
      </c>
      <c r="G22" s="19">
        <v>66478.482999999993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f t="shared" si="0"/>
        <v>6533771.1776900003</v>
      </c>
      <c r="N22" s="19">
        <f t="shared" si="1"/>
        <v>149309.40369000006</v>
      </c>
    </row>
    <row r="23" spans="1:14" ht="17.100000000000001" customHeight="1" x14ac:dyDescent="0.2">
      <c r="A23" s="18" t="s">
        <v>115</v>
      </c>
      <c r="B23" s="18" t="s">
        <v>134</v>
      </c>
      <c r="C23" s="19">
        <v>139564.98471000002</v>
      </c>
      <c r="D23" s="19">
        <v>0</v>
      </c>
      <c r="E23" s="19">
        <v>0</v>
      </c>
      <c r="F23" s="19">
        <v>40000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f t="shared" si="0"/>
        <v>179564.98471000002</v>
      </c>
      <c r="N23" s="19">
        <f t="shared" si="1"/>
        <v>179564.98471000002</v>
      </c>
    </row>
    <row r="24" spans="1:14" ht="17.100000000000001" customHeight="1" x14ac:dyDescent="0.2">
      <c r="A24" s="18" t="s">
        <v>32</v>
      </c>
      <c r="B24" s="18" t="s">
        <v>135</v>
      </c>
      <c r="C24" s="19">
        <v>22.587</v>
      </c>
      <c r="D24" s="19">
        <v>67.099999999999994</v>
      </c>
      <c r="E24" s="19">
        <v>0</v>
      </c>
      <c r="F24" s="19">
        <v>17.84</v>
      </c>
      <c r="G24" s="19">
        <v>7.74</v>
      </c>
      <c r="H24" s="19">
        <v>0.44400000000000001</v>
      </c>
      <c r="I24" s="19">
        <v>26.030999999999999</v>
      </c>
      <c r="J24" s="19">
        <v>10</v>
      </c>
      <c r="K24" s="19">
        <v>235.22800000000001</v>
      </c>
      <c r="L24" s="19">
        <v>2617.5569999999998</v>
      </c>
      <c r="M24" s="19">
        <f t="shared" si="0"/>
        <v>3004.527</v>
      </c>
      <c r="N24" s="19">
        <f t="shared" si="1"/>
        <v>2937.4270000000001</v>
      </c>
    </row>
    <row r="25" spans="1:14" ht="17.100000000000001" customHeight="1" x14ac:dyDescent="0.2">
      <c r="A25" s="18" t="s">
        <v>107</v>
      </c>
      <c r="B25" s="18" t="s">
        <v>135</v>
      </c>
      <c r="C25" s="19">
        <v>61099.569000000003</v>
      </c>
      <c r="D25" s="19">
        <v>184726.11199999999</v>
      </c>
      <c r="E25" s="19">
        <v>10417.759129999999</v>
      </c>
      <c r="F25" s="19">
        <v>149412.69099999999</v>
      </c>
      <c r="G25" s="19">
        <v>35989.411</v>
      </c>
      <c r="H25" s="19">
        <v>33331.974000000002</v>
      </c>
      <c r="I25" s="19">
        <v>169946.481</v>
      </c>
      <c r="J25" s="19">
        <v>138651.815</v>
      </c>
      <c r="K25" s="19">
        <v>1556.4680000000001</v>
      </c>
      <c r="L25" s="19">
        <v>815520.25600000005</v>
      </c>
      <c r="M25" s="19">
        <f t="shared" si="0"/>
        <v>1600652.5361299999</v>
      </c>
      <c r="N25" s="19">
        <f t="shared" si="1"/>
        <v>1415926.4241299999</v>
      </c>
    </row>
    <row r="26" spans="1:14" ht="17.100000000000001" customHeight="1" x14ac:dyDescent="0.2">
      <c r="A26" s="18" t="s">
        <v>34</v>
      </c>
      <c r="B26" s="18" t="s">
        <v>135</v>
      </c>
      <c r="C26" s="19">
        <v>1820355.733</v>
      </c>
      <c r="D26" s="19">
        <v>225000</v>
      </c>
      <c r="E26" s="19">
        <v>14192.155000000001</v>
      </c>
      <c r="F26" s="19">
        <v>1284.9110000000001</v>
      </c>
      <c r="G26" s="19">
        <v>641776.147</v>
      </c>
      <c r="H26" s="19">
        <v>10160</v>
      </c>
      <c r="I26" s="19">
        <v>203180</v>
      </c>
      <c r="J26" s="19">
        <v>0</v>
      </c>
      <c r="K26" s="19">
        <v>12200</v>
      </c>
      <c r="L26" s="19">
        <v>1048205.96</v>
      </c>
      <c r="M26" s="19">
        <f t="shared" si="0"/>
        <v>3976354.906</v>
      </c>
      <c r="N26" s="19">
        <f t="shared" si="1"/>
        <v>3751354.906</v>
      </c>
    </row>
    <row r="27" spans="1:14" ht="17.100000000000001" customHeight="1" x14ac:dyDescent="0.2">
      <c r="A27" s="18" t="s">
        <v>108</v>
      </c>
      <c r="B27" s="18" t="s">
        <v>135</v>
      </c>
      <c r="C27" s="19">
        <v>1870354.385</v>
      </c>
      <c r="D27" s="19">
        <v>620779.47199999995</v>
      </c>
      <c r="E27" s="19">
        <v>16816.149000000001</v>
      </c>
      <c r="F27" s="19">
        <v>97100</v>
      </c>
      <c r="G27" s="19">
        <v>0</v>
      </c>
      <c r="H27" s="19">
        <v>0</v>
      </c>
      <c r="I27" s="19">
        <v>10000</v>
      </c>
      <c r="J27" s="19">
        <v>10235.339</v>
      </c>
      <c r="K27" s="19">
        <v>19694.900000000001</v>
      </c>
      <c r="L27" s="19">
        <v>467486.239</v>
      </c>
      <c r="M27" s="19">
        <f t="shared" si="0"/>
        <v>3112466.4840000002</v>
      </c>
      <c r="N27" s="19">
        <f t="shared" si="1"/>
        <v>2491687.0120000001</v>
      </c>
    </row>
    <row r="28" spans="1:14" ht="17.100000000000001" customHeight="1" x14ac:dyDescent="0.2">
      <c r="A28" s="18" t="s">
        <v>109</v>
      </c>
      <c r="B28" s="18" t="s">
        <v>134</v>
      </c>
      <c r="C28" s="19">
        <v>113637.10400000001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f t="shared" si="0"/>
        <v>113637.10400000001</v>
      </c>
      <c r="N28" s="19">
        <f t="shared" si="1"/>
        <v>113637.10400000001</v>
      </c>
    </row>
    <row r="29" spans="1:14" ht="17.100000000000001" customHeight="1" x14ac:dyDescent="0.2">
      <c r="A29" s="18" t="s">
        <v>116</v>
      </c>
      <c r="B29" s="18" t="s">
        <v>134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f t="shared" si="0"/>
        <v>0</v>
      </c>
      <c r="N29" s="19">
        <f t="shared" si="1"/>
        <v>0</v>
      </c>
    </row>
    <row r="30" spans="1:14" ht="17.100000000000001" customHeight="1" x14ac:dyDescent="0.2">
      <c r="A30" s="18" t="s">
        <v>117</v>
      </c>
      <c r="B30" s="18" t="s">
        <v>134</v>
      </c>
      <c r="C30" s="19">
        <v>53157.896000000001</v>
      </c>
      <c r="D30" s="19">
        <v>20818.744999999999</v>
      </c>
      <c r="E30" s="19">
        <v>236.76</v>
      </c>
      <c r="F30" s="19">
        <v>6137.0649999999996</v>
      </c>
      <c r="G30" s="19">
        <v>13399.127</v>
      </c>
      <c r="H30" s="19">
        <v>425.66399999999999</v>
      </c>
      <c r="I30" s="19">
        <v>15109.492</v>
      </c>
      <c r="J30" s="19">
        <v>0</v>
      </c>
      <c r="K30" s="19">
        <v>0</v>
      </c>
      <c r="L30" s="19">
        <v>1882.633</v>
      </c>
      <c r="M30" s="19">
        <f t="shared" si="0"/>
        <v>111167.382</v>
      </c>
      <c r="N30" s="19">
        <f t="shared" si="1"/>
        <v>90348.637000000002</v>
      </c>
    </row>
    <row r="31" spans="1:14" ht="17.100000000000001" customHeight="1" x14ac:dyDescent="0.2">
      <c r="A31" s="18" t="s">
        <v>110</v>
      </c>
      <c r="B31" s="18" t="s">
        <v>134</v>
      </c>
      <c r="C31" s="19">
        <v>10651.625</v>
      </c>
      <c r="D31" s="19">
        <v>2985.9479999999999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19896.654999999999</v>
      </c>
      <c r="K31" s="19">
        <v>0</v>
      </c>
      <c r="L31" s="19">
        <v>73707.467000000004</v>
      </c>
      <c r="M31" s="19">
        <f t="shared" si="0"/>
        <v>107241.69500000001</v>
      </c>
      <c r="N31" s="19">
        <f t="shared" si="1"/>
        <v>104255.747</v>
      </c>
    </row>
    <row r="32" spans="1:14" ht="17.100000000000001" customHeight="1" x14ac:dyDescent="0.2">
      <c r="A32" s="18" t="s">
        <v>37</v>
      </c>
      <c r="B32" s="18" t="s">
        <v>134</v>
      </c>
      <c r="C32" s="19">
        <v>76738.627999999997</v>
      </c>
      <c r="D32" s="19">
        <v>447075.315</v>
      </c>
      <c r="E32" s="19">
        <v>0</v>
      </c>
      <c r="F32" s="19">
        <v>134.69</v>
      </c>
      <c r="G32" s="19">
        <v>0</v>
      </c>
      <c r="H32" s="19">
        <v>0</v>
      </c>
      <c r="I32" s="19">
        <v>0</v>
      </c>
      <c r="J32" s="19">
        <v>4901.32</v>
      </c>
      <c r="K32" s="19">
        <v>0</v>
      </c>
      <c r="L32" s="19">
        <v>169990.50399999999</v>
      </c>
      <c r="M32" s="19">
        <f t="shared" si="0"/>
        <v>698840.45699999994</v>
      </c>
      <c r="N32" s="19">
        <f t="shared" si="1"/>
        <v>251765.14199999993</v>
      </c>
    </row>
    <row r="33" spans="1:14" ht="17.100000000000001" customHeight="1" x14ac:dyDescent="0.2">
      <c r="A33" s="18" t="s">
        <v>40</v>
      </c>
      <c r="B33" s="18" t="s">
        <v>134</v>
      </c>
      <c r="C33" s="19">
        <v>424490.87099999998</v>
      </c>
      <c r="D33" s="19">
        <v>278647.272</v>
      </c>
      <c r="E33" s="19">
        <v>0</v>
      </c>
      <c r="F33" s="19">
        <v>19875.599999999999</v>
      </c>
      <c r="G33" s="19">
        <v>19133.641</v>
      </c>
      <c r="H33" s="19">
        <v>3992.9270000000001</v>
      </c>
      <c r="I33" s="19">
        <v>2277.1570000000002</v>
      </c>
      <c r="J33" s="19">
        <v>75299.934999999998</v>
      </c>
      <c r="K33" s="19">
        <v>716.84900000000005</v>
      </c>
      <c r="L33" s="19">
        <v>148.22999999999999</v>
      </c>
      <c r="M33" s="19">
        <f t="shared" si="0"/>
        <v>824582.48199999996</v>
      </c>
      <c r="N33" s="19">
        <f t="shared" si="1"/>
        <v>545935.21</v>
      </c>
    </row>
    <row r="34" spans="1:14" ht="17.100000000000001" customHeight="1" x14ac:dyDescent="0.2">
      <c r="A34" s="18" t="s">
        <v>41</v>
      </c>
      <c r="B34" s="18" t="s">
        <v>41</v>
      </c>
      <c r="C34" s="19">
        <v>0</v>
      </c>
      <c r="D34" s="19">
        <v>0</v>
      </c>
      <c r="E34" s="19">
        <v>2381.37</v>
      </c>
      <c r="F34" s="19">
        <v>0</v>
      </c>
      <c r="G34" s="19">
        <v>72344.100999999995</v>
      </c>
      <c r="H34" s="19">
        <v>0</v>
      </c>
      <c r="I34" s="19">
        <v>250784.98499999999</v>
      </c>
      <c r="J34" s="19">
        <v>0</v>
      </c>
      <c r="K34" s="19">
        <v>0</v>
      </c>
      <c r="L34" s="16">
        <v>607528.41700000002</v>
      </c>
      <c r="M34" s="19">
        <f t="shared" si="0"/>
        <v>933038.87300000002</v>
      </c>
      <c r="N34" s="19">
        <f t="shared" si="1"/>
        <v>933038.87300000002</v>
      </c>
    </row>
    <row r="35" spans="1:14" ht="5.2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ht="17.100000000000001" customHeight="1" x14ac:dyDescent="0.2">
      <c r="A36" s="21" t="s">
        <v>13</v>
      </c>
      <c r="B36" s="21"/>
      <c r="C36" s="22">
        <f>SUM(C5:C34)</f>
        <v>32154551.158349998</v>
      </c>
      <c r="D36" s="22">
        <f t="shared" ref="D36:K36" si="2">SUM(D5:D34)</f>
        <v>33361828.092</v>
      </c>
      <c r="E36" s="22">
        <f t="shared" si="2"/>
        <v>73611.327129999991</v>
      </c>
      <c r="F36" s="22">
        <f t="shared" si="2"/>
        <v>1261904.3699999999</v>
      </c>
      <c r="G36" s="22">
        <f t="shared" si="2"/>
        <v>6581357.2250000006</v>
      </c>
      <c r="H36" s="22">
        <f t="shared" si="2"/>
        <v>61626.972000000002</v>
      </c>
      <c r="I36" s="22">
        <f t="shared" si="2"/>
        <v>3371294.6220000004</v>
      </c>
      <c r="J36" s="22">
        <f>SUM(J5:J34)</f>
        <v>776623.21200000006</v>
      </c>
      <c r="K36" s="22">
        <f t="shared" si="2"/>
        <v>53729.201999999997</v>
      </c>
      <c r="L36" s="22">
        <f>SUM(L5:L34)</f>
        <v>13447436.139</v>
      </c>
      <c r="M36" s="22">
        <f>SUM(M5:M34)</f>
        <v>91143962.319479957</v>
      </c>
      <c r="N36" s="22">
        <f>SUM(N5:N34)</f>
        <v>57782134.227480032</v>
      </c>
    </row>
    <row r="37" spans="1:14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4" x14ac:dyDescent="0.2">
      <c r="A38" s="30" t="s">
        <v>111</v>
      </c>
      <c r="B38" s="16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4" x14ac:dyDescent="0.2">
      <c r="A39" s="30"/>
      <c r="B39" s="16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4" x14ac:dyDescent="0.2">
      <c r="A40" s="31" t="s">
        <v>123</v>
      </c>
      <c r="B40" s="31"/>
    </row>
    <row r="41" spans="1:14" hidden="1" x14ac:dyDescent="0.2">
      <c r="A41" s="28"/>
      <c r="B41" s="28"/>
      <c r="L41" s="16">
        <v>607528.41700000002</v>
      </c>
    </row>
    <row r="42" spans="1:14" hidden="1" x14ac:dyDescent="0.2">
      <c r="L42" s="179">
        <v>24101800</v>
      </c>
    </row>
  </sheetData>
  <mergeCells count="3">
    <mergeCell ref="A1:M1"/>
    <mergeCell ref="A2:M2"/>
    <mergeCell ref="C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Assets Long 22</vt:lpstr>
      <vt:lpstr>Assets Long 21</vt:lpstr>
      <vt:lpstr>Assets Long 20</vt:lpstr>
      <vt:lpstr>Assets Long 19</vt:lpstr>
      <vt:lpstr>Assets Long 18</vt:lpstr>
      <vt:lpstr>Assets Long 17</vt:lpstr>
      <vt:lpstr>Assets Long 16</vt:lpstr>
      <vt:lpstr>Assets Long 15</vt:lpstr>
      <vt:lpstr>Assets Long 14</vt:lpstr>
      <vt:lpstr>Assets Long 13</vt:lpstr>
      <vt:lpstr>Assets Long 12</vt:lpstr>
      <vt:lpstr>Assets Long 11</vt:lpstr>
      <vt:lpstr>Assets Long 10</vt:lpstr>
      <vt:lpstr>Assets Long 09</vt:lpstr>
      <vt:lpstr>Assets Long 08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2016-08-23T05:36:02Z</cp:lastPrinted>
  <dcterms:created xsi:type="dcterms:W3CDTF">2010-08-19T10:29:33Z</dcterms:created>
  <dcterms:modified xsi:type="dcterms:W3CDTF">2023-07-20T06:43:36Z</dcterms:modified>
</cp:coreProperties>
</file>