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tatistics\Insurance\2022\LongTerm-Insurance\"/>
    </mc:Choice>
  </mc:AlternateContent>
  <bookViews>
    <workbookView xWindow="0" yWindow="0" windowWidth="21600" windowHeight="9735"/>
  </bookViews>
  <sheets>
    <sheet name="Revenue Long 22" sheetId="17" r:id="rId1"/>
    <sheet name="Revenue Long 21" sheetId="16" r:id="rId2"/>
    <sheet name="Revenue Long 20" sheetId="15" r:id="rId3"/>
    <sheet name="Revenue Long 19" sheetId="14" r:id="rId4"/>
    <sheet name="Revenue Long 18" sheetId="13" r:id="rId5"/>
    <sheet name="Revenue Long 17" sheetId="12" r:id="rId6"/>
    <sheet name="Revenue Long 16" sheetId="11" r:id="rId7"/>
    <sheet name="Revenue Long 15" sheetId="10" r:id="rId8"/>
    <sheet name="Revenue Long 14" sheetId="7" r:id="rId9"/>
    <sheet name="Revenue Long 13" sheetId="6" r:id="rId10"/>
    <sheet name="Revenue Long 12" sheetId="5" r:id="rId11"/>
    <sheet name="Revenue Long 11" sheetId="4" r:id="rId12"/>
    <sheet name="Revenue Long 10" sheetId="3" r:id="rId13"/>
    <sheet name="Revenue Long 09" sheetId="2" r:id="rId14"/>
    <sheet name="Revenue Long 08 " sheetId="9" r:id="rId15"/>
  </sheets>
  <calcPr calcId="152511"/>
</workbook>
</file>

<file path=xl/calcChain.xml><?xml version="1.0" encoding="utf-8"?>
<calcChain xmlns="http://schemas.openxmlformats.org/spreadsheetml/2006/main">
  <c r="L22" i="17" l="1"/>
  <c r="L21" i="17"/>
  <c r="L20" i="17"/>
  <c r="L19" i="17"/>
  <c r="L18" i="17"/>
  <c r="L17" i="17"/>
  <c r="L16" i="17"/>
  <c r="L14" i="17"/>
  <c r="L13" i="17"/>
  <c r="L12" i="17"/>
  <c r="L10" i="17"/>
  <c r="L9" i="17"/>
  <c r="L8" i="17"/>
  <c r="L7" i="17"/>
  <c r="L6" i="17"/>
  <c r="E22" i="16" l="1"/>
  <c r="E21" i="16"/>
  <c r="K22" i="16" l="1"/>
  <c r="K21" i="16"/>
  <c r="L22" i="16" l="1"/>
  <c r="L21" i="16"/>
  <c r="L20" i="16"/>
  <c r="L19" i="16"/>
  <c r="L18" i="16"/>
  <c r="L17" i="16"/>
  <c r="L16" i="16"/>
  <c r="L14" i="16"/>
  <c r="L13" i="16"/>
  <c r="L12" i="16"/>
  <c r="L10" i="16"/>
  <c r="L9" i="16"/>
  <c r="L8" i="16"/>
  <c r="L7" i="16"/>
  <c r="L6" i="16"/>
  <c r="B14" i="11" l="1"/>
  <c r="L22" i="15" l="1"/>
  <c r="L21" i="15"/>
  <c r="L20" i="15"/>
  <c r="L19" i="15"/>
  <c r="L18" i="15"/>
  <c r="L17" i="15"/>
  <c r="L16" i="15"/>
  <c r="L14" i="15"/>
  <c r="L13" i="15"/>
  <c r="L12" i="15"/>
  <c r="L10" i="15"/>
  <c r="L9" i="15"/>
  <c r="L8" i="15"/>
  <c r="L7" i="15"/>
  <c r="L6" i="15"/>
  <c r="L7" i="11" l="1"/>
  <c r="L8" i="11"/>
  <c r="L9" i="11"/>
  <c r="L10" i="11"/>
  <c r="L11" i="11"/>
  <c r="L12" i="11"/>
  <c r="L13" i="11"/>
  <c r="L14" i="11"/>
  <c r="L15" i="11"/>
  <c r="L16" i="11"/>
  <c r="L17" i="11"/>
  <c r="L18" i="11"/>
  <c r="L19" i="11"/>
  <c r="L20" i="11"/>
  <c r="L21" i="11"/>
  <c r="L22" i="11"/>
  <c r="L6" i="11"/>
  <c r="L22" i="12"/>
  <c r="L7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6" i="12"/>
  <c r="L17" i="13" l="1"/>
  <c r="L20" i="13"/>
  <c r="L16" i="13"/>
  <c r="L7" i="13"/>
  <c r="L9" i="13"/>
  <c r="L10" i="13"/>
  <c r="B14" i="13"/>
  <c r="L17" i="14" l="1"/>
  <c r="L18" i="14"/>
  <c r="L19" i="14"/>
  <c r="L20" i="14"/>
  <c r="L21" i="14"/>
  <c r="L22" i="14"/>
  <c r="L16" i="14"/>
  <c r="L13" i="14"/>
  <c r="L14" i="14"/>
  <c r="L12" i="14"/>
  <c r="L7" i="14"/>
  <c r="L8" i="14"/>
  <c r="L9" i="14"/>
  <c r="L10" i="14"/>
  <c r="L6" i="14"/>
  <c r="J22" i="13" l="1"/>
  <c r="L22" i="13" s="1"/>
  <c r="J21" i="13"/>
  <c r="L21" i="13" s="1"/>
  <c r="J19" i="13"/>
  <c r="L19" i="13" s="1"/>
  <c r="J14" i="13"/>
  <c r="J13" i="13"/>
  <c r="L13" i="13" s="1"/>
  <c r="J12" i="13"/>
  <c r="L12" i="13" s="1"/>
  <c r="J6" i="13"/>
  <c r="L6" i="13" s="1"/>
  <c r="D18" i="13" l="1"/>
  <c r="E18" i="13"/>
  <c r="F18" i="13"/>
  <c r="G18" i="13"/>
  <c r="H18" i="13"/>
  <c r="I18" i="13"/>
  <c r="J18" i="13"/>
  <c r="K18" i="13"/>
  <c r="C18" i="13"/>
  <c r="D14" i="13"/>
  <c r="E14" i="13"/>
  <c r="F14" i="13"/>
  <c r="G14" i="13"/>
  <c r="H14" i="13"/>
  <c r="I14" i="13"/>
  <c r="K14" i="13"/>
  <c r="C14" i="13"/>
  <c r="D8" i="13"/>
  <c r="E8" i="13"/>
  <c r="F8" i="13"/>
  <c r="G8" i="13"/>
  <c r="H8" i="13"/>
  <c r="I8" i="13"/>
  <c r="J8" i="13"/>
  <c r="K8" i="13"/>
  <c r="C8" i="13"/>
  <c r="L8" i="13" l="1"/>
  <c r="L14" i="13"/>
  <c r="L18" i="13"/>
  <c r="I19" i="10" l="1"/>
  <c r="I18" i="10"/>
  <c r="H18" i="10"/>
  <c r="G18" i="10"/>
  <c r="F18" i="10"/>
  <c r="D18" i="10"/>
  <c r="C18" i="10"/>
  <c r="B18" i="10"/>
  <c r="I14" i="10"/>
  <c r="B10" i="10"/>
  <c r="L10" i="10" s="1"/>
  <c r="I8" i="10"/>
  <c r="L8" i="10" s="1"/>
  <c r="L6" i="10"/>
  <c r="L7" i="10"/>
  <c r="L9" i="10"/>
  <c r="L11" i="10"/>
  <c r="L12" i="10"/>
  <c r="L13" i="10"/>
  <c r="L14" i="10"/>
  <c r="L15" i="10"/>
  <c r="L16" i="10"/>
  <c r="L17" i="10"/>
  <c r="L19" i="10"/>
  <c r="L20" i="10"/>
  <c r="L21" i="10"/>
  <c r="L22" i="10"/>
  <c r="L18" i="10" l="1"/>
  <c r="O22" i="9" l="1"/>
  <c r="O21" i="9"/>
  <c r="O20" i="9"/>
  <c r="O19" i="9"/>
  <c r="K19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O17" i="9"/>
  <c r="O16" i="9"/>
  <c r="N14" i="9"/>
  <c r="M14" i="9"/>
  <c r="L14" i="9"/>
  <c r="K14" i="9"/>
  <c r="J14" i="9"/>
  <c r="I14" i="9"/>
  <c r="H14" i="9"/>
  <c r="G14" i="9"/>
  <c r="F14" i="9"/>
  <c r="E14" i="9"/>
  <c r="D14" i="9"/>
  <c r="B14" i="9"/>
  <c r="C13" i="9"/>
  <c r="O13" i="9" s="1"/>
  <c r="O12" i="9"/>
  <c r="M10" i="9"/>
  <c r="L10" i="9"/>
  <c r="D10" i="9"/>
  <c r="C10" i="9"/>
  <c r="O9" i="9"/>
  <c r="N8" i="9"/>
  <c r="M8" i="9"/>
  <c r="L8" i="9"/>
  <c r="K8" i="9"/>
  <c r="J8" i="9"/>
  <c r="I8" i="9"/>
  <c r="H8" i="9"/>
  <c r="G8" i="9"/>
  <c r="F8" i="9"/>
  <c r="E8" i="9"/>
  <c r="D8" i="9"/>
  <c r="C8" i="9"/>
  <c r="O7" i="9"/>
  <c r="O6" i="9"/>
  <c r="B6" i="9"/>
  <c r="B8" i="9" s="1"/>
  <c r="C14" i="9" l="1"/>
  <c r="O14" i="9" s="1"/>
  <c r="O8" i="9"/>
  <c r="O10" i="9"/>
  <c r="O18" i="9"/>
  <c r="L21" i="7"/>
  <c r="L20" i="7"/>
  <c r="L19" i="7"/>
  <c r="L17" i="7"/>
  <c r="L8" i="7"/>
  <c r="L7" i="7"/>
  <c r="L6" i="7"/>
  <c r="L22" i="7"/>
  <c r="K18" i="7" l="1"/>
  <c r="J18" i="7"/>
  <c r="I18" i="7"/>
  <c r="H18" i="7"/>
  <c r="G18" i="7"/>
  <c r="F18" i="7"/>
  <c r="E18" i="7"/>
  <c r="D18" i="7"/>
  <c r="C18" i="7"/>
  <c r="B18" i="7"/>
  <c r="L16" i="7"/>
  <c r="L18" i="7" s="1"/>
  <c r="L15" i="7"/>
  <c r="L14" i="7"/>
  <c r="L13" i="7"/>
  <c r="L12" i="7"/>
  <c r="L11" i="7"/>
  <c r="L10" i="7"/>
  <c r="L9" i="7"/>
  <c r="L22" i="6" l="1"/>
  <c r="L21" i="6"/>
  <c r="L20" i="6"/>
  <c r="L19" i="6"/>
  <c r="L18" i="6"/>
  <c r="L17" i="6"/>
  <c r="L16" i="6"/>
  <c r="L14" i="6"/>
  <c r="L13" i="6"/>
  <c r="L12" i="6"/>
  <c r="L10" i="6"/>
  <c r="L9" i="6"/>
  <c r="L8" i="6"/>
  <c r="L7" i="6"/>
  <c r="L6" i="6"/>
  <c r="L22" i="5"/>
  <c r="L21" i="5"/>
  <c r="L20" i="5"/>
  <c r="L19" i="5"/>
  <c r="K18" i="5"/>
  <c r="J18" i="5"/>
  <c r="I18" i="5"/>
  <c r="H18" i="5"/>
  <c r="G18" i="5"/>
  <c r="F18" i="5"/>
  <c r="E18" i="5"/>
  <c r="D18" i="5"/>
  <c r="C18" i="5"/>
  <c r="B18" i="5"/>
  <c r="L17" i="5"/>
  <c r="L16" i="5"/>
  <c r="K14" i="5"/>
  <c r="J14" i="5"/>
  <c r="I14" i="5"/>
  <c r="H14" i="5"/>
  <c r="G14" i="5"/>
  <c r="F14" i="5"/>
  <c r="E14" i="5"/>
  <c r="D14" i="5"/>
  <c r="C14" i="5"/>
  <c r="B14" i="5"/>
  <c r="L13" i="5"/>
  <c r="L12" i="5"/>
  <c r="B10" i="5"/>
  <c r="L10" i="5" s="1"/>
  <c r="L9" i="5"/>
  <c r="K8" i="5"/>
  <c r="J8" i="5"/>
  <c r="I8" i="5"/>
  <c r="H8" i="5"/>
  <c r="G8" i="5"/>
  <c r="F8" i="5"/>
  <c r="E8" i="5"/>
  <c r="D8" i="5"/>
  <c r="C8" i="5"/>
  <c r="B8" i="5"/>
  <c r="L7" i="5"/>
  <c r="L6" i="5"/>
  <c r="G8" i="3"/>
  <c r="F8" i="3"/>
  <c r="O22" i="4"/>
  <c r="O21" i="4"/>
  <c r="O20" i="4"/>
  <c r="F19" i="4"/>
  <c r="E19" i="4"/>
  <c r="M18" i="4"/>
  <c r="L18" i="4"/>
  <c r="J18" i="4"/>
  <c r="I18" i="4"/>
  <c r="H18" i="4"/>
  <c r="G18" i="4"/>
  <c r="F18" i="4"/>
  <c r="E18" i="4"/>
  <c r="D18" i="4"/>
  <c r="C18" i="4"/>
  <c r="B18" i="4"/>
  <c r="O17" i="4"/>
  <c r="O16" i="4"/>
  <c r="M14" i="4"/>
  <c r="L14" i="4"/>
  <c r="J14" i="4"/>
  <c r="I14" i="4"/>
  <c r="H14" i="4"/>
  <c r="G14" i="4"/>
  <c r="F14" i="4"/>
  <c r="E14" i="4"/>
  <c r="D14" i="4"/>
  <c r="C14" i="4"/>
  <c r="O13" i="4"/>
  <c r="B12" i="4"/>
  <c r="B14" i="4" s="1"/>
  <c r="M10" i="4"/>
  <c r="D10" i="4"/>
  <c r="B10" i="4"/>
  <c r="O10" i="4" s="1"/>
  <c r="O9" i="4"/>
  <c r="M8" i="4"/>
  <c r="L8" i="4"/>
  <c r="J8" i="4"/>
  <c r="I8" i="4"/>
  <c r="H8" i="4"/>
  <c r="G8" i="4"/>
  <c r="F8" i="4"/>
  <c r="E8" i="4"/>
  <c r="D8" i="4"/>
  <c r="C8" i="4"/>
  <c r="O7" i="4"/>
  <c r="B6" i="4"/>
  <c r="B8" i="4" s="1"/>
  <c r="O21" i="3"/>
  <c r="O20" i="3"/>
  <c r="E19" i="3"/>
  <c r="O19" i="3" s="1"/>
  <c r="N18" i="3"/>
  <c r="M18" i="3"/>
  <c r="L18" i="3"/>
  <c r="K18" i="3"/>
  <c r="J18" i="3"/>
  <c r="I18" i="3"/>
  <c r="H18" i="3"/>
  <c r="G18" i="3"/>
  <c r="F18" i="3"/>
  <c r="E18" i="3"/>
  <c r="D18" i="3"/>
  <c r="C18" i="3"/>
  <c r="O18" i="3" s="1"/>
  <c r="B18" i="3"/>
  <c r="O17" i="3"/>
  <c r="O16" i="3"/>
  <c r="N14" i="3"/>
  <c r="M14" i="3"/>
  <c r="K14" i="3"/>
  <c r="J14" i="3"/>
  <c r="I14" i="3"/>
  <c r="H14" i="3"/>
  <c r="G14" i="3"/>
  <c r="F14" i="3"/>
  <c r="E14" i="3"/>
  <c r="D14" i="3"/>
  <c r="C14" i="3"/>
  <c r="B14" i="3"/>
  <c r="O13" i="3"/>
  <c r="L12" i="3"/>
  <c r="L14" i="3"/>
  <c r="M10" i="3"/>
  <c r="K10" i="3"/>
  <c r="J10" i="3"/>
  <c r="B10" i="3"/>
  <c r="O9" i="3"/>
  <c r="N8" i="3"/>
  <c r="M8" i="3"/>
  <c r="L8" i="3"/>
  <c r="K8" i="3"/>
  <c r="J8" i="3"/>
  <c r="I8" i="3"/>
  <c r="H8" i="3"/>
  <c r="E8" i="3"/>
  <c r="D8" i="3"/>
  <c r="C8" i="3"/>
  <c r="B8" i="3"/>
  <c r="O7" i="3"/>
  <c r="O6" i="3"/>
  <c r="B6" i="2"/>
  <c r="O6" i="2"/>
  <c r="O7" i="2"/>
  <c r="B8" i="2"/>
  <c r="C8" i="2"/>
  <c r="D8" i="2"/>
  <c r="E8" i="2"/>
  <c r="F8" i="2"/>
  <c r="G8" i="2"/>
  <c r="H8" i="2"/>
  <c r="I8" i="2"/>
  <c r="J8" i="2"/>
  <c r="K8" i="2"/>
  <c r="L8" i="2"/>
  <c r="M8" i="2"/>
  <c r="N8" i="2"/>
  <c r="O9" i="2"/>
  <c r="C10" i="2"/>
  <c r="O10" i="2" s="1"/>
  <c r="L10" i="2"/>
  <c r="O11" i="2"/>
  <c r="E12" i="2"/>
  <c r="H12" i="2"/>
  <c r="H14" i="2" s="1"/>
  <c r="O13" i="2"/>
  <c r="B14" i="2"/>
  <c r="C14" i="2"/>
  <c r="D14" i="2"/>
  <c r="F14" i="2"/>
  <c r="G14" i="2"/>
  <c r="I14" i="2"/>
  <c r="J14" i="2"/>
  <c r="K14" i="2"/>
  <c r="L14" i="2"/>
  <c r="M14" i="2"/>
  <c r="N14" i="2"/>
  <c r="O15" i="2"/>
  <c r="O16" i="2"/>
  <c r="O17" i="2"/>
  <c r="B18" i="2"/>
  <c r="C18" i="2"/>
  <c r="D18" i="2"/>
  <c r="E18" i="2"/>
  <c r="F18" i="2"/>
  <c r="G18" i="2"/>
  <c r="H18" i="2"/>
  <c r="I18" i="2"/>
  <c r="J18" i="2"/>
  <c r="K18" i="2"/>
  <c r="L18" i="2"/>
  <c r="M18" i="2"/>
  <c r="N18" i="2"/>
  <c r="O19" i="2"/>
  <c r="O20" i="2"/>
  <c r="O21" i="2"/>
  <c r="H22" i="2"/>
  <c r="O22" i="2" s="1"/>
  <c r="O12" i="3"/>
  <c r="O6" i="4"/>
  <c r="O10" i="3" l="1"/>
  <c r="O18" i="2"/>
  <c r="E22" i="3"/>
  <c r="O22" i="3" s="1"/>
  <c r="O8" i="4"/>
  <c r="O8" i="2"/>
  <c r="O12" i="2"/>
  <c r="O14" i="3"/>
  <c r="O8" i="3"/>
  <c r="O18" i="4"/>
  <c r="O19" i="4"/>
  <c r="O14" i="4"/>
  <c r="E14" i="2"/>
  <c r="O14" i="2" s="1"/>
  <c r="L14" i="5"/>
  <c r="L18" i="5"/>
  <c r="O12" i="4"/>
  <c r="L8" i="5"/>
</calcChain>
</file>

<file path=xl/sharedStrings.xml><?xml version="1.0" encoding="utf-8"?>
<sst xmlns="http://schemas.openxmlformats.org/spreadsheetml/2006/main" count="519" uniqueCount="90">
  <si>
    <t xml:space="preserve"> LONG   TERM   INSURANCE   BUSINESS</t>
  </si>
  <si>
    <t>(Amount  Rs 000)</t>
  </si>
  <si>
    <t>ALBATROSS</t>
  </si>
  <si>
    <t>ANGLO MTIUS</t>
  </si>
  <si>
    <t xml:space="preserve">BAI </t>
  </si>
  <si>
    <t>CEYLINCO STELLA</t>
  </si>
  <si>
    <t>IOGA</t>
  </si>
  <si>
    <t>ISLAND LIFE</t>
  </si>
  <si>
    <t>LAMCO</t>
  </si>
  <si>
    <t>LAPRUDENCE</t>
  </si>
  <si>
    <t>LIC</t>
  </si>
  <si>
    <t>MTIAN EAGLE</t>
  </si>
  <si>
    <t>MTIUS UNION</t>
  </si>
  <si>
    <t>SICOM</t>
  </si>
  <si>
    <t>SUN</t>
  </si>
  <si>
    <t>TOTAL</t>
  </si>
  <si>
    <t>PREMIUM  :</t>
  </si>
  <si>
    <t xml:space="preserve">  Gross</t>
  </si>
  <si>
    <t xml:space="preserve">  Reinsurance</t>
  </si>
  <si>
    <t xml:space="preserve">  Net</t>
  </si>
  <si>
    <t>INVESTMENT INCOME</t>
  </si>
  <si>
    <t>OTHER   INCOME</t>
  </si>
  <si>
    <t>BENEFITS PAYMENT  :</t>
  </si>
  <si>
    <t xml:space="preserve">  Reinsurance </t>
  </si>
  <si>
    <t>COMMISSION  :</t>
  </si>
  <si>
    <t xml:space="preserve">  Received and receivable</t>
  </si>
  <si>
    <t xml:space="preserve">  Paid and payable</t>
  </si>
  <si>
    <t>MANAGEMENT EXPENSES</t>
  </si>
  <si>
    <t>TAXATION</t>
  </si>
  <si>
    <t>FUND AT BEGINNING OF YEAR</t>
  </si>
  <si>
    <t>FUND  AT  END  OF  YEAR</t>
  </si>
  <si>
    <t>COMPANYWISE SUMMARY OF REVENUE ACCOUNTS FOR THE YEAR 2009</t>
  </si>
  <si>
    <t>COMPANYWISE SUMMARY OF REVENUE ACCOUNTS FOR THE YEAR 2010</t>
  </si>
  <si>
    <t>ANGLO</t>
  </si>
  <si>
    <t>BAI</t>
  </si>
  <si>
    <t>CIM LIFE</t>
  </si>
  <si>
    <t>LPM</t>
  </si>
  <si>
    <t>MUA</t>
  </si>
  <si>
    <t>PHOENIX</t>
  </si>
  <si>
    <t>-</t>
  </si>
  <si>
    <t>COMPANYWISE SUMMARY OF REVENUE ACCOUNTS FOR THE YEAR 2011</t>
  </si>
  <si>
    <t xml:space="preserve">IOGA </t>
  </si>
  <si>
    <t xml:space="preserve">LAMCO </t>
  </si>
  <si>
    <t xml:space="preserve">PHOENIX </t>
  </si>
  <si>
    <t>COMPANYWISE SUMMARY OF REVENUE ACCOUNTS FOR THE YEAR 2012</t>
  </si>
  <si>
    <t xml:space="preserve">IOGA i </t>
  </si>
  <si>
    <t>LAMCO i</t>
  </si>
  <si>
    <t>PHOENIX i</t>
  </si>
  <si>
    <t>COMPANYWISE SUMMARY OF REVENUE ACCOUNTS FOR THE YEAR 2013</t>
  </si>
  <si>
    <t>IOGA L</t>
  </si>
  <si>
    <t xml:space="preserve">ISLAND </t>
  </si>
  <si>
    <t>LA PRUDENCE</t>
  </si>
  <si>
    <t>LAMCO L</t>
  </si>
  <si>
    <t>METROPOLITAN</t>
  </si>
  <si>
    <t>PHOENIX L</t>
  </si>
  <si>
    <t>SICOM L</t>
  </si>
  <si>
    <t>Premium</t>
  </si>
  <si>
    <t>Gross</t>
  </si>
  <si>
    <t>Reinsurance</t>
  </si>
  <si>
    <t>Net</t>
  </si>
  <si>
    <t>Received and Receivable</t>
  </si>
  <si>
    <t>Paid and Payable</t>
  </si>
  <si>
    <t>* Closed Life Fund</t>
  </si>
  <si>
    <t>FUND AT END OF YEAR</t>
  </si>
  <si>
    <t>COMPANYWISE SUMMARY OF REVENUE ACCOUNTS FOR THE YEAR 2014</t>
  </si>
  <si>
    <t>OTHER INCOME</t>
  </si>
  <si>
    <t>BENEFITS PAYMENT</t>
  </si>
  <si>
    <t>COMMISSION</t>
  </si>
  <si>
    <t>IOGA*</t>
  </si>
  <si>
    <t>LAMCO*</t>
  </si>
  <si>
    <t>PHOENIX*</t>
  </si>
  <si>
    <t>(Amount Rs 000)</t>
  </si>
  <si>
    <t>COMPANYWISE SUMMARY OF REVENUE ACCOUNTS FOR THE YEAR 2008</t>
  </si>
  <si>
    <t>COMPANYWISE SUMMARY OF REVENUE ACCOUNTS FOR THE YEAR 2015</t>
  </si>
  <si>
    <t>SWAN LIFE</t>
  </si>
  <si>
    <t>COMPANYWISE SUMMARY OF REVENUE ACCOUNTS FOR THE YEAR 2016</t>
  </si>
  <si>
    <r>
      <rPr>
        <b/>
        <i/>
        <sz val="10"/>
        <rFont val="Arial Narrow"/>
        <family val="2"/>
      </rPr>
      <t xml:space="preserve">Source: </t>
    </r>
    <r>
      <rPr>
        <i/>
        <sz val="10"/>
        <rFont val="Arial Narrow"/>
        <family val="2"/>
      </rPr>
      <t>Financial Services Commission (FSC) Mauritius</t>
    </r>
  </si>
  <si>
    <t>IOGA *</t>
  </si>
  <si>
    <t>LAMCO *</t>
  </si>
  <si>
    <t>PHOENIX *</t>
  </si>
  <si>
    <t>COMPANYWISE SUMMARY OF REVENUE ACCOUNTS FOR THE YEAR 2017</t>
  </si>
  <si>
    <t>COMPANYWISE SUMMARY OF REVENUE ACCOUNTS FOR THE YEAR 2018</t>
  </si>
  <si>
    <t>COMPANYWISE SUMMARY OF REVENUE ACCOUNTS FOR THE YEAR 2019</t>
  </si>
  <si>
    <t>NICL</t>
  </si>
  <si>
    <t>COMPANYWISE SUMMARY OF REVENUE ACCOUNTS FOR THE YEAR 2020</t>
  </si>
  <si>
    <t>Afri Life Insurance Ltd previously known as METROPOLITAN</t>
  </si>
  <si>
    <t>Afri Life Insurance Ltd (previously known as Metropolitan Life (Mauritius) Ltd) **</t>
  </si>
  <si>
    <t>** Date of change of name: September 2019</t>
  </si>
  <si>
    <t>COMPANYWISE SUMMARY OF REVENUE ACCOUNTS FOR THE YEAR 2021</t>
  </si>
  <si>
    <t>COMPANYWISE SUMMARY OF REVENUE ACCOUNTS FOR THE YEAR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</si>
</sst>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#,##0.00;[Red]#,##0.00"/>
    <numFmt numFmtId="166" formatCode="#,##0;[Red]#,##0"/>
    <numFmt numFmtId="167" formatCode="0.000%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 Narrow"/>
      <family val="2"/>
    </font>
    <font>
      <sz val="10"/>
      <name val="Arial Narrow"/>
      <family val="2"/>
    </font>
    <font>
      <b/>
      <sz val="10"/>
      <color indexed="17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i/>
      <sz val="10"/>
      <color theme="1"/>
      <name val="Arial Narrow"/>
      <family val="2"/>
    </font>
    <font>
      <b/>
      <sz val="10"/>
      <color indexed="9"/>
      <name val="Arial Narrow"/>
      <family val="2"/>
    </font>
    <font>
      <i/>
      <sz val="10"/>
      <name val="Arial Narrow"/>
      <family val="2"/>
    </font>
    <font>
      <b/>
      <i/>
      <sz val="10"/>
      <name val="Arial Narrow"/>
      <family val="2"/>
    </font>
    <font>
      <sz val="12"/>
      <name val="Arial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10"/>
      <color rgb="FF00B0F0"/>
      <name val="Arial Narrow"/>
      <family val="2"/>
    </font>
    <font>
      <sz val="10"/>
      <color indexed="17"/>
      <name val="Arial Narrow"/>
      <family val="2"/>
    </font>
    <font>
      <sz val="10"/>
      <color theme="9" tint="-0.499984740745262"/>
      <name val="Arial Narrow"/>
      <family val="2"/>
    </font>
    <font>
      <sz val="10"/>
      <color rgb="FF0000CC"/>
      <name val="Arial Narrow"/>
      <family val="2"/>
    </font>
    <font>
      <sz val="12"/>
      <color indexed="8"/>
      <name val="Arial"/>
      <family val="2"/>
    </font>
    <font>
      <b/>
      <sz val="10"/>
      <color theme="0" tint="-0.249977111117893"/>
      <name val="Arial Narrow"/>
      <family val="2"/>
    </font>
    <font>
      <b/>
      <sz val="10"/>
      <color theme="9" tint="-0.499984740745262"/>
      <name val="Arial Narrow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98CCFF"/>
        <bgColor indexed="64"/>
      </patternFill>
    </fill>
  </fills>
  <borders count="2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14">
    <xf numFmtId="0" fontId="0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0" fontId="27" fillId="0" borderId="0"/>
    <xf numFmtId="41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0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43" fontId="4" fillId="0" borderId="0" xfId="1" applyFont="1"/>
    <xf numFmtId="43" fontId="4" fillId="0" borderId="0" xfId="0" applyNumberFormat="1" applyFont="1"/>
    <xf numFmtId="3" fontId="4" fillId="0" borderId="0" xfId="0" applyNumberFormat="1" applyFont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4" applyFont="1"/>
    <xf numFmtId="0" fontId="4" fillId="0" borderId="0" xfId="4" applyFont="1" applyAlignment="1">
      <alignment horizontal="center"/>
    </xf>
    <xf numFmtId="0" fontId="4" fillId="0" borderId="0" xfId="4" applyFont="1" applyFill="1"/>
    <xf numFmtId="0" fontId="8" fillId="0" borderId="0" xfId="0" applyFont="1"/>
    <xf numFmtId="1" fontId="10" fillId="9" borderId="5" xfId="0" applyNumberFormat="1" applyFont="1" applyFill="1" applyBorder="1" applyAlignment="1">
      <alignment horizontal="center"/>
    </xf>
    <xf numFmtId="164" fontId="11" fillId="7" borderId="5" xfId="1" applyNumberFormat="1" applyFont="1" applyFill="1" applyBorder="1" applyAlignment="1">
      <alignment horizontal="right" wrapText="1"/>
    </xf>
    <xf numFmtId="164" fontId="12" fillId="0" borderId="5" xfId="1" applyNumberFormat="1" applyFont="1" applyBorder="1"/>
    <xf numFmtId="164" fontId="12" fillId="0" borderId="18" xfId="1" applyNumberFormat="1" applyFont="1" applyBorder="1"/>
    <xf numFmtId="164" fontId="12" fillId="0" borderId="0" xfId="1" applyNumberFormat="1" applyFont="1" applyBorder="1"/>
    <xf numFmtId="164" fontId="13" fillId="0" borderId="0" xfId="1" applyNumberFormat="1" applyFont="1"/>
    <xf numFmtId="3" fontId="10" fillId="1" borderId="5" xfId="0" applyNumberFormat="1" applyFont="1" applyFill="1" applyBorder="1" applyAlignment="1">
      <alignment vertical="center"/>
    </xf>
    <xf numFmtId="164" fontId="12" fillId="0" borderId="28" xfId="1" applyNumberFormat="1" applyFont="1" applyBorder="1"/>
    <xf numFmtId="3" fontId="10" fillId="8" borderId="5" xfId="0" applyNumberFormat="1" applyFont="1" applyFill="1" applyBorder="1" applyAlignment="1">
      <alignment vertical="center"/>
    </xf>
    <xf numFmtId="164" fontId="12" fillId="0" borderId="23" xfId="1" applyNumberFormat="1" applyFont="1" applyBorder="1"/>
    <xf numFmtId="3" fontId="10" fillId="8" borderId="26" xfId="0" applyNumberFormat="1" applyFont="1" applyFill="1" applyBorder="1" applyAlignment="1">
      <alignment vertical="center"/>
    </xf>
    <xf numFmtId="164" fontId="12" fillId="0" borderId="20" xfId="1" applyNumberFormat="1" applyFont="1" applyBorder="1"/>
    <xf numFmtId="3" fontId="10" fillId="8" borderId="18" xfId="0" applyNumberFormat="1" applyFont="1" applyFill="1" applyBorder="1" applyAlignment="1">
      <alignment vertical="center"/>
    </xf>
    <xf numFmtId="0" fontId="15" fillId="0" borderId="0" xfId="6" applyFont="1" applyFill="1" applyBorder="1" applyAlignment="1"/>
    <xf numFmtId="0" fontId="9" fillId="0" borderId="28" xfId="0" applyFont="1" applyFill="1" applyBorder="1" applyAlignment="1">
      <alignment vertical="center"/>
    </xf>
    <xf numFmtId="164" fontId="12" fillId="0" borderId="26" xfId="1" applyNumberFormat="1" applyFont="1" applyBorder="1"/>
    <xf numFmtId="0" fontId="17" fillId="0" borderId="0" xfId="0" applyFont="1"/>
    <xf numFmtId="3" fontId="18" fillId="0" borderId="0" xfId="0" applyNumberFormat="1" applyFont="1" applyFill="1" applyAlignment="1"/>
    <xf numFmtId="3" fontId="9" fillId="0" borderId="0" xfId="0" applyNumberFormat="1" applyFont="1" applyAlignment="1">
      <alignment horizontal="right" vertical="center"/>
    </xf>
    <xf numFmtId="1" fontId="8" fillId="9" borderId="17" xfId="0" applyNumberFormat="1" applyFont="1" applyFill="1" applyBorder="1" applyAlignment="1">
      <alignment horizontal="center"/>
    </xf>
    <xf numFmtId="164" fontId="10" fillId="0" borderId="10" xfId="1" applyNumberFormat="1" applyFont="1" applyFill="1" applyBorder="1" applyAlignment="1">
      <alignment horizontal="center" vertical="center" wrapText="1"/>
    </xf>
    <xf numFmtId="164" fontId="10" fillId="0" borderId="18" xfId="1" applyNumberFormat="1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164" fontId="10" fillId="0" borderId="20" xfId="0" applyNumberFormat="1" applyFont="1" applyFill="1" applyBorder="1" applyAlignment="1">
      <alignment horizontal="right" vertical="center"/>
    </xf>
    <xf numFmtId="164" fontId="8" fillId="0" borderId="20" xfId="0" applyNumberFormat="1" applyFont="1" applyFill="1" applyBorder="1" applyAlignment="1">
      <alignment vertical="center"/>
    </xf>
    <xf numFmtId="164" fontId="10" fillId="0" borderId="21" xfId="0" applyNumberFormat="1" applyFont="1" applyFill="1" applyBorder="1" applyAlignment="1">
      <alignment vertical="center"/>
    </xf>
    <xf numFmtId="164" fontId="10" fillId="0" borderId="21" xfId="0" applyNumberFormat="1" applyFont="1" applyFill="1" applyBorder="1" applyAlignment="1">
      <alignment horizontal="right" vertical="center"/>
    </xf>
    <xf numFmtId="0" fontId="10" fillId="0" borderId="2" xfId="0" applyFont="1" applyFill="1" applyBorder="1" applyAlignment="1">
      <alignment horizontal="right" vertical="center"/>
    </xf>
    <xf numFmtId="164" fontId="8" fillId="0" borderId="5" xfId="1" applyNumberFormat="1" applyFont="1" applyFill="1" applyBorder="1" applyAlignment="1">
      <alignment horizontal="center" vertical="center"/>
    </xf>
    <xf numFmtId="164" fontId="19" fillId="0" borderId="5" xfId="0" applyNumberFormat="1" applyFont="1" applyBorder="1" applyAlignment="1">
      <alignment vertical="center"/>
    </xf>
    <xf numFmtId="164" fontId="8" fillId="0" borderId="5" xfId="0" applyNumberFormat="1" applyFont="1" applyFill="1" applyBorder="1" applyAlignment="1">
      <alignment vertical="center"/>
    </xf>
    <xf numFmtId="164" fontId="10" fillId="0" borderId="6" xfId="1" applyNumberFormat="1" applyFont="1" applyFill="1" applyBorder="1" applyAlignment="1">
      <alignment horizontal="center" vertical="center"/>
    </xf>
    <xf numFmtId="164" fontId="10" fillId="0" borderId="5" xfId="1" applyNumberFormat="1" applyFont="1" applyFill="1" applyBorder="1" applyAlignment="1">
      <alignment horizontal="center" vertical="center"/>
    </xf>
    <xf numFmtId="164" fontId="8" fillId="0" borderId="5" xfId="1" applyNumberFormat="1" applyFont="1" applyFill="1" applyBorder="1" applyAlignment="1">
      <alignment vertical="center"/>
    </xf>
    <xf numFmtId="164" fontId="8" fillId="0" borderId="23" xfId="1" applyNumberFormat="1" applyFont="1" applyFill="1" applyBorder="1" applyAlignment="1">
      <alignment horizontal="center" vertical="center"/>
    </xf>
    <xf numFmtId="164" fontId="8" fillId="0" borderId="23" xfId="1" applyNumberFormat="1" applyFont="1" applyFill="1" applyBorder="1" applyAlignment="1">
      <alignment vertical="center"/>
    </xf>
    <xf numFmtId="164" fontId="10" fillId="0" borderId="24" xfId="1" applyNumberFormat="1" applyFont="1" applyFill="1" applyBorder="1" applyAlignment="1">
      <alignment horizontal="center" vertical="center"/>
    </xf>
    <xf numFmtId="164" fontId="8" fillId="0" borderId="26" xfId="1" applyNumberFormat="1" applyFont="1" applyFill="1" applyBorder="1" applyAlignment="1">
      <alignment horizontal="center" vertical="center"/>
    </xf>
    <xf numFmtId="164" fontId="19" fillId="0" borderId="26" xfId="0" applyNumberFormat="1" applyFont="1" applyBorder="1" applyAlignment="1">
      <alignment vertical="center"/>
    </xf>
    <xf numFmtId="164" fontId="8" fillId="0" borderId="26" xfId="0" applyNumberFormat="1" applyFont="1" applyFill="1" applyBorder="1" applyAlignment="1">
      <alignment vertical="center"/>
    </xf>
    <xf numFmtId="164" fontId="10" fillId="0" borderId="27" xfId="1" applyNumberFormat="1" applyFont="1" applyFill="1" applyBorder="1" applyAlignment="1">
      <alignment horizontal="center" vertical="center"/>
    </xf>
    <xf numFmtId="164" fontId="10" fillId="0" borderId="18" xfId="1" applyNumberFormat="1" applyFont="1" applyFill="1" applyBorder="1" applyAlignment="1">
      <alignment horizontal="center" vertical="center"/>
    </xf>
    <xf numFmtId="164" fontId="10" fillId="0" borderId="18" xfId="0" applyNumberFormat="1" applyFont="1" applyFill="1" applyBorder="1" applyAlignment="1">
      <alignment vertical="center"/>
    </xf>
    <xf numFmtId="164" fontId="10" fillId="0" borderId="18" xfId="1" applyNumberFormat="1" applyFont="1" applyFill="1" applyBorder="1" applyAlignment="1">
      <alignment vertical="center"/>
    </xf>
    <xf numFmtId="164" fontId="10" fillId="0" borderId="14" xfId="1" applyNumberFormat="1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164" fontId="18" fillId="0" borderId="0" xfId="0" applyNumberFormat="1" applyFont="1" applyFill="1" applyAlignment="1">
      <alignment vertical="center"/>
    </xf>
    <xf numFmtId="0" fontId="19" fillId="0" borderId="0" xfId="0" applyFont="1" applyFill="1"/>
    <xf numFmtId="165" fontId="19" fillId="0" borderId="0" xfId="0" applyNumberFormat="1" applyFont="1" applyFill="1"/>
    <xf numFmtId="0" fontId="19" fillId="0" borderId="0" xfId="0" applyFont="1"/>
    <xf numFmtId="38" fontId="23" fillId="0" borderId="0" xfId="0" applyNumberFormat="1" applyFont="1" applyFill="1"/>
    <xf numFmtId="0" fontId="21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3" fontId="10" fillId="1" borderId="19" xfId="0" applyNumberFormat="1" applyFont="1" applyFill="1" applyBorder="1" applyAlignment="1">
      <alignment vertical="center"/>
    </xf>
    <xf numFmtId="3" fontId="10" fillId="8" borderId="22" xfId="0" applyNumberFormat="1" applyFont="1" applyFill="1" applyBorder="1" applyAlignment="1">
      <alignment vertical="center"/>
    </xf>
    <xf numFmtId="3" fontId="10" fillId="1" borderId="7" xfId="0" applyNumberFormat="1" applyFont="1" applyFill="1" applyBorder="1" applyAlignment="1">
      <alignment vertical="center"/>
    </xf>
    <xf numFmtId="3" fontId="10" fillId="8" borderId="7" xfId="0" applyNumberFormat="1" applyFont="1" applyFill="1" applyBorder="1" applyAlignment="1">
      <alignment vertical="center"/>
    </xf>
    <xf numFmtId="3" fontId="10" fillId="8" borderId="25" xfId="0" applyNumberFormat="1" applyFont="1" applyFill="1" applyBorder="1" applyAlignment="1">
      <alignment vertical="center"/>
    </xf>
    <xf numFmtId="3" fontId="10" fillId="8" borderId="17" xfId="0" applyNumberFormat="1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24" fillId="0" borderId="0" xfId="0" applyFont="1"/>
    <xf numFmtId="0" fontId="10" fillId="0" borderId="20" xfId="0" applyFont="1" applyFill="1" applyBorder="1" applyAlignment="1">
      <alignment horizontal="right" vertical="center"/>
    </xf>
    <xf numFmtId="0" fontId="8" fillId="0" borderId="20" xfId="0" applyFont="1" applyFill="1" applyBorder="1" applyAlignment="1">
      <alignment vertical="center"/>
    </xf>
    <xf numFmtId="166" fontId="10" fillId="0" borderId="21" xfId="0" applyNumberFormat="1" applyFont="1" applyFill="1" applyBorder="1" applyAlignment="1">
      <alignment vertical="center"/>
    </xf>
    <xf numFmtId="0" fontId="10" fillId="0" borderId="21" xfId="0" applyFont="1" applyFill="1" applyBorder="1" applyAlignment="1">
      <alignment horizontal="right" vertical="center"/>
    </xf>
    <xf numFmtId="3" fontId="8" fillId="0" borderId="5" xfId="0" applyNumberFormat="1" applyFont="1" applyFill="1" applyBorder="1" applyAlignment="1">
      <alignment vertical="center"/>
    </xf>
    <xf numFmtId="38" fontId="8" fillId="0" borderId="5" xfId="1" applyNumberFormat="1" applyFont="1" applyFill="1" applyBorder="1" applyAlignment="1">
      <alignment vertical="center"/>
    </xf>
    <xf numFmtId="166" fontId="8" fillId="0" borderId="23" xfId="1" applyNumberFormat="1" applyFont="1" applyFill="1" applyBorder="1" applyAlignment="1">
      <alignment vertical="center"/>
    </xf>
    <xf numFmtId="3" fontId="8" fillId="0" borderId="26" xfId="0" applyNumberFormat="1" applyFont="1" applyFill="1" applyBorder="1" applyAlignment="1">
      <alignment vertical="center"/>
    </xf>
    <xf numFmtId="164" fontId="8" fillId="0" borderId="18" xfId="1" applyNumberFormat="1" applyFont="1" applyFill="1" applyBorder="1" applyAlignment="1">
      <alignment horizontal="center" vertical="center"/>
    </xf>
    <xf numFmtId="3" fontId="8" fillId="0" borderId="18" xfId="0" applyNumberFormat="1" applyFont="1" applyFill="1" applyBorder="1" applyAlignment="1">
      <alignment vertical="center"/>
    </xf>
    <xf numFmtId="166" fontId="10" fillId="0" borderId="18" xfId="1" applyNumberFormat="1" applyFont="1" applyFill="1" applyBorder="1" applyAlignment="1">
      <alignment vertical="center"/>
    </xf>
    <xf numFmtId="3" fontId="21" fillId="0" borderId="0" xfId="0" applyNumberFormat="1" applyFont="1" applyFill="1" applyAlignment="1">
      <alignment horizontal="center" vertical="center"/>
    </xf>
    <xf numFmtId="164" fontId="10" fillId="9" borderId="10" xfId="3" applyNumberFormat="1" applyFont="1" applyFill="1" applyBorder="1" applyAlignment="1">
      <alignment horizontal="center" wrapText="1"/>
    </xf>
    <xf numFmtId="164" fontId="10" fillId="9" borderId="18" xfId="3" applyNumberFormat="1" applyFont="1" applyFill="1" applyBorder="1" applyAlignment="1">
      <alignment horizontal="center" wrapText="1"/>
    </xf>
    <xf numFmtId="164" fontId="25" fillId="0" borderId="18" xfId="3" applyNumberFormat="1" applyFont="1" applyFill="1" applyBorder="1" applyAlignment="1">
      <alignment horizontal="center" vertical="center" wrapText="1"/>
    </xf>
    <xf numFmtId="0" fontId="10" fillId="7" borderId="14" xfId="0" applyFont="1" applyFill="1" applyBorder="1" applyAlignment="1">
      <alignment horizontal="center" vertical="center" wrapText="1"/>
    </xf>
    <xf numFmtId="0" fontId="26" fillId="0" borderId="20" xfId="0" applyFont="1" applyFill="1" applyBorder="1" applyAlignment="1">
      <alignment horizontal="right" vertical="center"/>
    </xf>
    <xf numFmtId="0" fontId="8" fillId="0" borderId="20" xfId="0" applyFont="1" applyBorder="1" applyAlignment="1">
      <alignment vertical="center"/>
    </xf>
    <xf numFmtId="166" fontId="26" fillId="0" borderId="21" xfId="0" applyNumberFormat="1" applyFont="1" applyFill="1" applyBorder="1" applyAlignment="1">
      <alignment vertical="center"/>
    </xf>
    <xf numFmtId="0" fontId="26" fillId="0" borderId="21" xfId="0" applyFont="1" applyFill="1" applyBorder="1" applyAlignment="1">
      <alignment horizontal="right" vertical="center"/>
    </xf>
    <xf numFmtId="0" fontId="8" fillId="0" borderId="2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right" vertical="center"/>
    </xf>
    <xf numFmtId="164" fontId="8" fillId="0" borderId="5" xfId="3" applyNumberFormat="1" applyFont="1" applyFill="1" applyBorder="1" applyAlignment="1">
      <alignment horizontal="center" vertical="center"/>
    </xf>
    <xf numFmtId="166" fontId="8" fillId="0" borderId="5" xfId="3" applyNumberFormat="1" applyFont="1" applyFill="1" applyBorder="1" applyAlignment="1">
      <alignment vertical="center"/>
    </xf>
    <xf numFmtId="164" fontId="10" fillId="0" borderId="6" xfId="3" applyNumberFormat="1" applyFont="1" applyFill="1" applyBorder="1" applyAlignment="1">
      <alignment horizontal="center" vertical="center"/>
    </xf>
    <xf numFmtId="164" fontId="10" fillId="0" borderId="5" xfId="3" applyNumberFormat="1" applyFont="1" applyFill="1" applyBorder="1" applyAlignment="1">
      <alignment horizontal="center" vertical="center"/>
    </xf>
    <xf numFmtId="38" fontId="8" fillId="0" borderId="5" xfId="3" applyNumberFormat="1" applyFont="1" applyFill="1" applyBorder="1" applyAlignment="1">
      <alignment vertical="center"/>
    </xf>
    <xf numFmtId="164" fontId="8" fillId="0" borderId="23" xfId="3" applyNumberFormat="1" applyFont="1" applyFill="1" applyBorder="1" applyAlignment="1">
      <alignment horizontal="center" vertical="center"/>
    </xf>
    <xf numFmtId="166" fontId="8" fillId="0" borderId="23" xfId="3" applyNumberFormat="1" applyFont="1" applyFill="1" applyBorder="1" applyAlignment="1">
      <alignment vertical="center"/>
    </xf>
    <xf numFmtId="164" fontId="10" fillId="0" borderId="24" xfId="3" applyNumberFormat="1" applyFont="1" applyFill="1" applyBorder="1" applyAlignment="1">
      <alignment horizontal="center" vertical="center"/>
    </xf>
    <xf numFmtId="164" fontId="8" fillId="0" borderId="8" xfId="3" applyNumberFormat="1" applyFont="1" applyFill="1" applyBorder="1" applyAlignment="1">
      <alignment horizontal="center" vertical="center"/>
    </xf>
    <xf numFmtId="166" fontId="8" fillId="0" borderId="8" xfId="3" applyNumberFormat="1" applyFont="1" applyFill="1" applyBorder="1" applyAlignment="1">
      <alignment vertical="center"/>
    </xf>
    <xf numFmtId="164" fontId="10" fillId="0" borderId="8" xfId="3" applyNumberFormat="1" applyFont="1" applyFill="1" applyBorder="1" applyAlignment="1">
      <alignment horizontal="center" vertical="center"/>
    </xf>
    <xf numFmtId="166" fontId="10" fillId="0" borderId="8" xfId="3" applyNumberFormat="1" applyFont="1" applyFill="1" applyBorder="1" applyAlignment="1">
      <alignment vertical="center"/>
    </xf>
    <xf numFmtId="164" fontId="10" fillId="0" borderId="9" xfId="3" applyNumberFormat="1" applyFont="1" applyFill="1" applyBorder="1" applyAlignment="1">
      <alignment horizontal="center" vertical="center"/>
    </xf>
    <xf numFmtId="38" fontId="19" fillId="0" borderId="0" xfId="0" applyNumberFormat="1" applyFont="1" applyFill="1" applyAlignment="1">
      <alignment vertical="center"/>
    </xf>
    <xf numFmtId="38" fontId="8" fillId="0" borderId="0" xfId="0" applyNumberFormat="1" applyFont="1" applyFill="1" applyAlignment="1">
      <alignment vertical="center"/>
    </xf>
    <xf numFmtId="0" fontId="19" fillId="0" borderId="0" xfId="0" applyFont="1" applyFill="1" applyAlignment="1">
      <alignment vertical="center"/>
    </xf>
    <xf numFmtId="38" fontId="18" fillId="0" borderId="0" xfId="0" applyNumberFormat="1" applyFont="1" applyFill="1" applyAlignment="1">
      <alignment vertical="center"/>
    </xf>
    <xf numFmtId="167" fontId="23" fillId="0" borderId="0" xfId="0" applyNumberFormat="1" applyFont="1" applyFill="1"/>
    <xf numFmtId="164" fontId="19" fillId="0" borderId="0" xfId="3" applyNumberFormat="1" applyFont="1" applyFill="1"/>
    <xf numFmtId="43" fontId="19" fillId="0" borderId="0" xfId="3" applyFont="1"/>
    <xf numFmtId="3" fontId="20" fillId="0" borderId="0" xfId="0" applyNumberFormat="1" applyFont="1" applyFill="1" applyAlignment="1">
      <alignment horizontal="center" vertical="center"/>
    </xf>
    <xf numFmtId="164" fontId="21" fillId="0" borderId="0" xfId="3" applyNumberFormat="1" applyFont="1" applyFill="1" applyBorder="1" applyAlignment="1">
      <alignment horizontal="center" vertical="center"/>
    </xf>
    <xf numFmtId="164" fontId="22" fillId="0" borderId="0" xfId="3" applyNumberFormat="1" applyFont="1" applyFill="1" applyBorder="1" applyAlignment="1">
      <alignment horizontal="center" vertical="center"/>
    </xf>
    <xf numFmtId="3" fontId="10" fillId="8" borderId="16" xfId="0" applyNumberFormat="1" applyFont="1" applyFill="1" applyBorder="1" applyAlignment="1">
      <alignment vertical="center"/>
    </xf>
    <xf numFmtId="3" fontId="18" fillId="0" borderId="0" xfId="4" applyNumberFormat="1" applyFont="1" applyAlignment="1"/>
    <xf numFmtId="3" fontId="21" fillId="0" borderId="0" xfId="4" applyNumberFormat="1" applyFont="1" applyFill="1" applyAlignment="1">
      <alignment horizontal="center" vertical="center"/>
    </xf>
    <xf numFmtId="3" fontId="9" fillId="0" borderId="0" xfId="4" applyNumberFormat="1" applyFont="1" applyAlignment="1">
      <alignment horizontal="right" vertical="center"/>
    </xf>
    <xf numFmtId="164" fontId="18" fillId="6" borderId="13" xfId="2" applyNumberFormat="1" applyFont="1" applyFill="1" applyBorder="1" applyAlignment="1">
      <alignment horizontal="center" vertical="center" wrapText="1"/>
    </xf>
    <xf numFmtId="164" fontId="18" fillId="2" borderId="13" xfId="2" applyNumberFormat="1" applyFont="1" applyFill="1" applyBorder="1" applyAlignment="1">
      <alignment horizontal="center" vertical="center" wrapText="1"/>
    </xf>
    <xf numFmtId="0" fontId="10" fillId="7" borderId="14" xfId="4" applyFont="1" applyFill="1" applyBorder="1" applyAlignment="1">
      <alignment horizontal="center" vertical="center" wrapText="1"/>
    </xf>
    <xf numFmtId="0" fontId="10" fillId="0" borderId="5" xfId="4" applyFont="1" applyFill="1" applyBorder="1" applyAlignment="1">
      <alignment horizontal="right" vertical="center"/>
    </xf>
    <xf numFmtId="0" fontId="8" fillId="0" borderId="5" xfId="4" applyFont="1" applyBorder="1" applyAlignment="1">
      <alignment vertical="center"/>
    </xf>
    <xf numFmtId="166" fontId="10" fillId="0" borderId="1" xfId="4" applyNumberFormat="1" applyFont="1" applyFill="1" applyBorder="1" applyAlignment="1">
      <alignment vertical="center"/>
    </xf>
    <xf numFmtId="0" fontId="10" fillId="0" borderId="1" xfId="4" applyFont="1" applyFill="1" applyBorder="1" applyAlignment="1">
      <alignment horizontal="right" vertical="center"/>
    </xf>
    <xf numFmtId="0" fontId="8" fillId="0" borderId="1" xfId="4" applyFont="1" applyFill="1" applyBorder="1" applyAlignment="1">
      <alignment horizontal="center" vertical="center"/>
    </xf>
    <xf numFmtId="0" fontId="10" fillId="0" borderId="2" xfId="4" applyFont="1" applyBorder="1" applyAlignment="1">
      <alignment horizontal="right" vertical="center"/>
    </xf>
    <xf numFmtId="164" fontId="8" fillId="0" borderId="5" xfId="2" applyNumberFormat="1" applyFont="1" applyFill="1" applyBorder="1" applyAlignment="1">
      <alignment horizontal="center" vertical="center"/>
    </xf>
    <xf numFmtId="166" fontId="8" fillId="0" borderId="3" xfId="2" applyNumberFormat="1" applyFont="1" applyFill="1" applyBorder="1" applyAlignment="1">
      <alignment vertical="center"/>
    </xf>
    <xf numFmtId="164" fontId="8" fillId="0" borderId="3" xfId="2" applyNumberFormat="1" applyFont="1" applyFill="1" applyBorder="1" applyAlignment="1">
      <alignment horizontal="center" vertical="center"/>
    </xf>
    <xf numFmtId="164" fontId="10" fillId="0" borderId="4" xfId="2" applyNumberFormat="1" applyFont="1" applyBorder="1" applyAlignment="1">
      <alignment horizontal="center" vertical="center"/>
    </xf>
    <xf numFmtId="166" fontId="8" fillId="0" borderId="5" xfId="2" applyNumberFormat="1" applyFont="1" applyFill="1" applyBorder="1" applyAlignment="1">
      <alignment vertical="center"/>
    </xf>
    <xf numFmtId="164" fontId="10" fillId="0" borderId="6" xfId="2" applyNumberFormat="1" applyFont="1" applyBorder="1" applyAlignment="1">
      <alignment horizontal="center" vertical="center"/>
    </xf>
    <xf numFmtId="164" fontId="10" fillId="0" borderId="5" xfId="2" applyNumberFormat="1" applyFont="1" applyFill="1" applyBorder="1" applyAlignment="1">
      <alignment horizontal="center" vertical="center"/>
    </xf>
    <xf numFmtId="38" fontId="8" fillId="0" borderId="5" xfId="2" applyNumberFormat="1" applyFont="1" applyFill="1" applyBorder="1" applyAlignment="1">
      <alignment vertical="center"/>
    </xf>
    <xf numFmtId="38" fontId="10" fillId="0" borderId="6" xfId="2" applyNumberFormat="1" applyFont="1" applyBorder="1" applyAlignment="1">
      <alignment vertical="center"/>
    </xf>
    <xf numFmtId="164" fontId="8" fillId="0" borderId="8" xfId="2" applyNumberFormat="1" applyFont="1" applyFill="1" applyBorder="1" applyAlignment="1">
      <alignment horizontal="center" vertical="center"/>
    </xf>
    <xf numFmtId="166" fontId="8" fillId="0" borderId="8" xfId="2" applyNumberFormat="1" applyFont="1" applyFill="1" applyBorder="1" applyAlignment="1">
      <alignment vertical="center"/>
    </xf>
    <xf numFmtId="164" fontId="10" fillId="0" borderId="8" xfId="2" applyNumberFormat="1" applyFont="1" applyFill="1" applyBorder="1" applyAlignment="1">
      <alignment horizontal="center" vertical="center"/>
    </xf>
    <xf numFmtId="164" fontId="10" fillId="0" borderId="9" xfId="2" applyNumberFormat="1" applyFont="1" applyBorder="1" applyAlignment="1">
      <alignment horizontal="center" vertical="center"/>
    </xf>
    <xf numFmtId="0" fontId="21" fillId="0" borderId="0" xfId="4" applyFont="1" applyFill="1" applyAlignment="1">
      <alignment horizontal="center" vertical="center"/>
    </xf>
    <xf numFmtId="0" fontId="19" fillId="0" borderId="0" xfId="4" applyFont="1" applyFill="1" applyAlignment="1">
      <alignment vertical="center"/>
    </xf>
    <xf numFmtId="3" fontId="19" fillId="0" borderId="0" xfId="4" applyNumberFormat="1" applyFont="1" applyFill="1"/>
    <xf numFmtId="165" fontId="19" fillId="0" borderId="0" xfId="4" applyNumberFormat="1" applyFont="1" applyFill="1"/>
    <xf numFmtId="0" fontId="19" fillId="0" borderId="0" xfId="4" applyFont="1" applyFill="1"/>
    <xf numFmtId="164" fontId="19" fillId="0" borderId="0" xfId="2" applyNumberFormat="1" applyFont="1" applyFill="1"/>
    <xf numFmtId="43" fontId="19" fillId="0" borderId="0" xfId="2" applyFont="1"/>
    <xf numFmtId="0" fontId="19" fillId="0" borderId="0" xfId="4" applyFont="1"/>
    <xf numFmtId="3" fontId="10" fillId="1" borderId="15" xfId="4" applyNumberFormat="1" applyFont="1" applyFill="1" applyBorder="1" applyAlignment="1">
      <alignment vertical="center"/>
    </xf>
    <xf numFmtId="3" fontId="10" fillId="8" borderId="7" xfId="4" applyNumberFormat="1" applyFont="1" applyFill="1" applyBorder="1" applyAlignment="1">
      <alignment vertical="center"/>
    </xf>
    <xf numFmtId="3" fontId="10" fillId="5" borderId="7" xfId="4" applyNumberFormat="1" applyFont="1" applyFill="1" applyBorder="1" applyAlignment="1">
      <alignment vertical="center"/>
    </xf>
    <xf numFmtId="3" fontId="10" fillId="1" borderId="7" xfId="4" applyNumberFormat="1" applyFont="1" applyFill="1" applyBorder="1" applyAlignment="1">
      <alignment vertical="center"/>
    </xf>
    <xf numFmtId="3" fontId="10" fillId="5" borderId="16" xfId="4" applyNumberFormat="1" applyFont="1" applyFill="1" applyBorder="1" applyAlignment="1">
      <alignment vertical="center"/>
    </xf>
    <xf numFmtId="0" fontId="19" fillId="0" borderId="0" xfId="4" applyFont="1" applyAlignment="1">
      <alignment vertical="center"/>
    </xf>
    <xf numFmtId="0" fontId="24" fillId="0" borderId="0" xfId="4" applyFont="1"/>
    <xf numFmtId="38" fontId="19" fillId="0" borderId="0" xfId="0" applyNumberFormat="1" applyFont="1" applyFill="1" applyAlignment="1">
      <alignment horizontal="center"/>
    </xf>
    <xf numFmtId="0" fontId="10" fillId="4" borderId="14" xfId="4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right"/>
    </xf>
    <xf numFmtId="0" fontId="18" fillId="0" borderId="10" xfId="0" applyFont="1" applyFill="1" applyBorder="1" applyAlignment="1">
      <alignment horizontal="right"/>
    </xf>
    <xf numFmtId="0" fontId="18" fillId="0" borderId="2" xfId="0" applyFont="1" applyBorder="1" applyAlignment="1">
      <alignment horizontal="right"/>
    </xf>
    <xf numFmtId="164" fontId="19" fillId="0" borderId="3" xfId="1" applyNumberFormat="1" applyFont="1" applyFill="1" applyBorder="1" applyAlignment="1">
      <alignment horizontal="center"/>
    </xf>
    <xf numFmtId="41" fontId="19" fillId="0" borderId="5" xfId="0" applyNumberFormat="1" applyFont="1" applyFill="1" applyBorder="1" applyAlignment="1">
      <alignment horizontal="right"/>
    </xf>
    <xf numFmtId="1" fontId="19" fillId="0" borderId="3" xfId="1" applyNumberFormat="1" applyFont="1" applyFill="1" applyBorder="1" applyAlignment="1">
      <alignment horizontal="center"/>
    </xf>
    <xf numFmtId="164" fontId="18" fillId="0" borderId="4" xfId="1" applyNumberFormat="1" applyFont="1" applyBorder="1" applyAlignment="1">
      <alignment horizontal="center"/>
    </xf>
    <xf numFmtId="164" fontId="19" fillId="0" borderId="5" xfId="1" applyNumberFormat="1" applyFont="1" applyFill="1" applyBorder="1" applyAlignment="1">
      <alignment horizontal="center"/>
    </xf>
    <xf numFmtId="164" fontId="19" fillId="0" borderId="5" xfId="1" applyNumberFormat="1" applyFont="1" applyBorder="1" applyAlignment="1">
      <alignment horizontal="center"/>
    </xf>
    <xf numFmtId="1" fontId="19" fillId="0" borderId="5" xfId="1" applyNumberFormat="1" applyFont="1" applyFill="1" applyBorder="1" applyAlignment="1">
      <alignment horizontal="center"/>
    </xf>
    <xf numFmtId="164" fontId="18" fillId="0" borderId="5" xfId="1" applyNumberFormat="1" applyFont="1" applyFill="1" applyBorder="1" applyAlignment="1">
      <alignment horizontal="center"/>
    </xf>
    <xf numFmtId="164" fontId="18" fillId="0" borderId="5" xfId="1" applyNumberFormat="1" applyFont="1" applyBorder="1" applyAlignment="1">
      <alignment horizontal="center"/>
    </xf>
    <xf numFmtId="1" fontId="18" fillId="0" borderId="5" xfId="1" applyNumberFormat="1" applyFont="1" applyFill="1" applyBorder="1" applyAlignment="1">
      <alignment horizontal="center"/>
    </xf>
    <xf numFmtId="41" fontId="18" fillId="0" borderId="5" xfId="0" applyNumberFormat="1" applyFont="1" applyFill="1" applyBorder="1" applyAlignment="1">
      <alignment horizontal="right"/>
    </xf>
    <xf numFmtId="3" fontId="19" fillId="0" borderId="5" xfId="1" applyNumberFormat="1" applyFont="1" applyFill="1" applyBorder="1" applyAlignment="1">
      <alignment horizontal="center"/>
    </xf>
    <xf numFmtId="164" fontId="19" fillId="0" borderId="3" xfId="1" applyNumberFormat="1" applyFont="1" applyBorder="1" applyAlignment="1">
      <alignment horizontal="center"/>
    </xf>
    <xf numFmtId="164" fontId="19" fillId="0" borderId="8" xfId="1" applyNumberFormat="1" applyFont="1" applyFill="1" applyBorder="1" applyAlignment="1">
      <alignment horizontal="center"/>
    </xf>
    <xf numFmtId="164" fontId="19" fillId="0" borderId="11" xfId="1" applyNumberFormat="1" applyFont="1" applyFill="1" applyBorder="1" applyAlignment="1">
      <alignment horizontal="center"/>
    </xf>
    <xf numFmtId="164" fontId="18" fillId="0" borderId="12" xfId="1" applyNumberFormat="1" applyFont="1" applyBorder="1" applyAlignment="1">
      <alignment horizontal="center"/>
    </xf>
    <xf numFmtId="0" fontId="19" fillId="0" borderId="0" xfId="0" applyFont="1" applyFill="1" applyAlignment="1">
      <alignment horizontal="center"/>
    </xf>
    <xf numFmtId="3" fontId="19" fillId="0" borderId="0" xfId="0" applyNumberFormat="1" applyFont="1" applyFill="1"/>
    <xf numFmtId="43" fontId="19" fillId="0" borderId="0" xfId="1" applyFont="1"/>
    <xf numFmtId="10" fontId="19" fillId="0" borderId="0" xfId="0" applyNumberFormat="1" applyFont="1" applyFill="1"/>
    <xf numFmtId="3" fontId="18" fillId="1" borderId="7" xfId="0" applyNumberFormat="1" applyFont="1" applyFill="1" applyBorder="1"/>
    <xf numFmtId="3" fontId="9" fillId="0" borderId="0" xfId="6" applyNumberFormat="1" applyFont="1" applyAlignment="1">
      <alignment horizontal="right" vertical="center"/>
    </xf>
    <xf numFmtId="164" fontId="18" fillId="2" borderId="13" xfId="7" applyNumberFormat="1" applyFont="1" applyFill="1" applyBorder="1" applyAlignment="1">
      <alignment horizontal="center" vertical="center" wrapText="1"/>
    </xf>
    <xf numFmtId="0" fontId="10" fillId="4" borderId="14" xfId="6" applyFont="1" applyFill="1" applyBorder="1" applyAlignment="1">
      <alignment horizontal="center" vertical="center" wrapText="1"/>
    </xf>
    <xf numFmtId="164" fontId="18" fillId="0" borderId="6" xfId="1" applyNumberFormat="1" applyFont="1" applyBorder="1" applyAlignment="1">
      <alignment horizontal="center"/>
    </xf>
    <xf numFmtId="164" fontId="18" fillId="0" borderId="9" xfId="1" applyNumberFormat="1" applyFont="1" applyBorder="1" applyAlignment="1">
      <alignment horizontal="center"/>
    </xf>
    <xf numFmtId="3" fontId="10" fillId="1" borderId="15" xfId="6" applyNumberFormat="1" applyFont="1" applyFill="1" applyBorder="1" applyAlignment="1">
      <alignment vertical="center"/>
    </xf>
    <xf numFmtId="3" fontId="10" fillId="5" borderId="7" xfId="6" applyNumberFormat="1" applyFont="1" applyFill="1" applyBorder="1" applyAlignment="1">
      <alignment vertical="center"/>
    </xf>
    <xf numFmtId="3" fontId="10" fillId="5" borderId="16" xfId="6" applyNumberFormat="1" applyFont="1" applyFill="1" applyBorder="1" applyAlignment="1">
      <alignment vertical="center"/>
    </xf>
    <xf numFmtId="164" fontId="11" fillId="0" borderId="5" xfId="1" applyNumberFormat="1" applyFont="1" applyBorder="1"/>
    <xf numFmtId="164" fontId="11" fillId="0" borderId="18" xfId="1" applyNumberFormat="1" applyFont="1" applyBorder="1"/>
    <xf numFmtId="164" fontId="18" fillId="2" borderId="5" xfId="7" applyNumberFormat="1" applyFont="1" applyFill="1" applyBorder="1" applyAlignment="1">
      <alignment horizontal="center" vertical="center" wrapText="1"/>
    </xf>
    <xf numFmtId="0" fontId="14" fillId="3" borderId="0" xfId="4" applyFont="1" applyFill="1" applyAlignment="1">
      <alignment horizontal="center"/>
    </xf>
    <xf numFmtId="0" fontId="9" fillId="0" borderId="28" xfId="0" applyFont="1" applyFill="1" applyBorder="1" applyAlignment="1">
      <alignment horizontal="center" vertical="center"/>
    </xf>
    <xf numFmtId="0" fontId="7" fillId="3" borderId="0" xfId="4" applyFont="1" applyFill="1" applyAlignment="1">
      <alignment horizontal="center"/>
    </xf>
    <xf numFmtId="0" fontId="7" fillId="3" borderId="0" xfId="6" applyFont="1" applyFill="1" applyAlignment="1">
      <alignment horizontal="center"/>
    </xf>
  </cellXfs>
  <cellStyles count="14">
    <cellStyle name="Comma" xfId="1" builtinId="3"/>
    <cellStyle name="Comma [0] 2" xfId="11"/>
    <cellStyle name="Comma 2" xfId="2"/>
    <cellStyle name="Comma 2 2" xfId="7"/>
    <cellStyle name="Comma 3" xfId="3"/>
    <cellStyle name="Normal" xfId="0" builtinId="0"/>
    <cellStyle name="Normal 2" xfId="4"/>
    <cellStyle name="Normal 2 2" xfId="6"/>
    <cellStyle name="Normal 2 3" xfId="9"/>
    <cellStyle name="Normal 2 4" xfId="10"/>
    <cellStyle name="Normal 3" xfId="5"/>
    <cellStyle name="Normal 3 2" xfId="12"/>
    <cellStyle name="Normal 4" xfId="8"/>
    <cellStyle name="Percent 2" xfId="13"/>
  </cellStyles>
  <dxfs count="0"/>
  <tableStyles count="0" defaultTableStyle="TableStyleMedium9" defaultPivotStyle="PivotStyleLight16"/>
  <colors>
    <mruColors>
      <color rgb="FFBFBFBF"/>
      <color rgb="FF99CCFF"/>
      <color rgb="FFC5D9F1"/>
      <color rgb="FF98CCFF"/>
      <color rgb="FF333399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tabSelected="1" zoomScaleNormal="100" workbookViewId="0">
      <pane ySplit="4" topLeftCell="A5" activePane="bottomLeft" state="frozen"/>
      <selection activeCell="H16" sqref="H16"/>
      <selection pane="bottomLeft" activeCell="E23" sqref="E23"/>
    </sheetView>
  </sheetViews>
  <sheetFormatPr defaultRowHeight="12.75" x14ac:dyDescent="0.2"/>
  <cols>
    <col min="1" max="1" width="30.7109375" style="11" customWidth="1"/>
    <col min="2" max="7" width="15.7109375" style="11" customWidth="1"/>
    <col min="8" max="8" width="19.7109375" style="11" customWidth="1"/>
    <col min="9" max="12" width="15.7109375" style="11" customWidth="1"/>
  </cols>
  <sheetData>
    <row r="1" spans="1:12" ht="12.95" customHeight="1" x14ac:dyDescent="0.2">
      <c r="A1" s="198" t="s">
        <v>0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</row>
    <row r="2" spans="1:12" ht="12.95" customHeight="1" x14ac:dyDescent="0.2">
      <c r="A2" s="198" t="s">
        <v>89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</row>
    <row r="3" spans="1:12" ht="14.1" customHeight="1" x14ac:dyDescent="0.2">
      <c r="A3" s="199" t="s">
        <v>71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</row>
    <row r="4" spans="1:12" ht="54" customHeight="1" x14ac:dyDescent="0.2">
      <c r="A4" s="12"/>
      <c r="B4" s="12" t="s">
        <v>83</v>
      </c>
      <c r="C4" s="12" t="s">
        <v>50</v>
      </c>
      <c r="D4" s="12" t="s">
        <v>77</v>
      </c>
      <c r="E4" s="12" t="s">
        <v>51</v>
      </c>
      <c r="F4" s="12" t="s">
        <v>78</v>
      </c>
      <c r="G4" s="12" t="s">
        <v>10</v>
      </c>
      <c r="H4" s="197" t="s">
        <v>86</v>
      </c>
      <c r="I4" s="12" t="s">
        <v>79</v>
      </c>
      <c r="J4" s="12" t="s">
        <v>55</v>
      </c>
      <c r="K4" s="12" t="s">
        <v>74</v>
      </c>
      <c r="L4" s="13" t="s">
        <v>15</v>
      </c>
    </row>
    <row r="5" spans="1:12" ht="20.100000000000001" customHeight="1" x14ac:dyDescent="0.2">
      <c r="A5" s="18" t="s">
        <v>56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4"/>
    </row>
    <row r="6" spans="1:12" ht="20.100000000000001" customHeight="1" x14ac:dyDescent="0.2">
      <c r="A6" s="20" t="s">
        <v>57</v>
      </c>
      <c r="B6" s="14">
        <v>1563995.0560000001</v>
      </c>
      <c r="C6" s="14">
        <v>183647.44450000001</v>
      </c>
      <c r="D6" s="14">
        <v>967.41</v>
      </c>
      <c r="E6" s="14">
        <v>1818265.2220000001</v>
      </c>
      <c r="F6" s="14">
        <v>1360.383</v>
      </c>
      <c r="G6" s="14">
        <v>557168.90399999998</v>
      </c>
      <c r="H6" s="14">
        <v>126085.236</v>
      </c>
      <c r="I6" s="14">
        <v>4695.3599999999997</v>
      </c>
      <c r="J6" s="14">
        <v>2747072.46</v>
      </c>
      <c r="K6" s="14">
        <v>5682104.8049999997</v>
      </c>
      <c r="L6" s="195">
        <f>SUM(B6:K6)</f>
        <v>12685362.2805</v>
      </c>
    </row>
    <row r="7" spans="1:12" ht="20.100000000000001" customHeight="1" x14ac:dyDescent="0.2">
      <c r="A7" s="20" t="s">
        <v>58</v>
      </c>
      <c r="B7" s="14">
        <v>24816.485000000001</v>
      </c>
      <c r="C7" s="14">
        <v>23326.2075</v>
      </c>
      <c r="D7" s="14">
        <v>73.968999999999994</v>
      </c>
      <c r="E7" s="14">
        <v>204769.73499999999</v>
      </c>
      <c r="F7" s="14">
        <v>225</v>
      </c>
      <c r="G7" s="14">
        <v>0</v>
      </c>
      <c r="H7" s="14">
        <v>3147.2939999999999</v>
      </c>
      <c r="I7" s="14">
        <v>600</v>
      </c>
      <c r="J7" s="14">
        <v>217025.51</v>
      </c>
      <c r="K7" s="14">
        <v>174795.22399999999</v>
      </c>
      <c r="L7" s="195">
        <f t="shared" ref="L7:L10" si="0">SUM(B7:K7)</f>
        <v>648779.42449999996</v>
      </c>
    </row>
    <row r="8" spans="1:12" ht="20.100000000000001" customHeight="1" x14ac:dyDescent="0.2">
      <c r="A8" s="20" t="s">
        <v>59</v>
      </c>
      <c r="B8" s="14">
        <v>1539178.571</v>
      </c>
      <c r="C8" s="14">
        <v>160321.23699999999</v>
      </c>
      <c r="D8" s="14">
        <v>893.44100000000003</v>
      </c>
      <c r="E8" s="14">
        <v>1613495.487</v>
      </c>
      <c r="F8" s="14">
        <v>1135.383</v>
      </c>
      <c r="G8" s="14">
        <v>557168.90399999998</v>
      </c>
      <c r="H8" s="14">
        <v>122937.942</v>
      </c>
      <c r="I8" s="14">
        <v>4095.36</v>
      </c>
      <c r="J8" s="14">
        <v>2530046.9500000002</v>
      </c>
      <c r="K8" s="14">
        <v>5507309.5810000002</v>
      </c>
      <c r="L8" s="195">
        <f t="shared" si="0"/>
        <v>12036582.856000001</v>
      </c>
    </row>
    <row r="9" spans="1:12" ht="20.100000000000001" customHeight="1" x14ac:dyDescent="0.2">
      <c r="A9" s="20" t="s">
        <v>20</v>
      </c>
      <c r="B9" s="14">
        <v>233095.72500000001</v>
      </c>
      <c r="C9" s="14">
        <v>-30811.001469999999</v>
      </c>
      <c r="D9" s="14">
        <v>2426.5970000000002</v>
      </c>
      <c r="E9" s="14">
        <v>105502.712</v>
      </c>
      <c r="F9" s="14">
        <v>291.12900000000002</v>
      </c>
      <c r="G9" s="14">
        <v>274617.71299999999</v>
      </c>
      <c r="H9" s="14">
        <v>12978.245000000001</v>
      </c>
      <c r="I9" s="14">
        <v>481.72399999999999</v>
      </c>
      <c r="J9" s="14">
        <v>-147337.08799999999</v>
      </c>
      <c r="K9" s="14">
        <v>3395457.9451000001</v>
      </c>
      <c r="L9" s="195">
        <f t="shared" si="0"/>
        <v>3846703.7006300003</v>
      </c>
    </row>
    <row r="10" spans="1:12" ht="20.100000000000001" customHeight="1" x14ac:dyDescent="0.2">
      <c r="A10" s="20" t="s">
        <v>65</v>
      </c>
      <c r="B10" s="14">
        <v>11330.153</v>
      </c>
      <c r="C10" s="14">
        <v>0</v>
      </c>
      <c r="D10" s="14">
        <v>0</v>
      </c>
      <c r="E10" s="14">
        <v>20573.737000000001</v>
      </c>
      <c r="F10" s="14">
        <v>21.16</v>
      </c>
      <c r="G10" s="14">
        <v>17500</v>
      </c>
      <c r="H10" s="14">
        <v>22045.258999999998</v>
      </c>
      <c r="I10" s="14">
        <v>0</v>
      </c>
      <c r="J10" s="14">
        <v>12.428000000000001</v>
      </c>
      <c r="K10" s="14">
        <v>-2298.8560000000002</v>
      </c>
      <c r="L10" s="195">
        <f t="shared" si="0"/>
        <v>69183.881000000008</v>
      </c>
    </row>
    <row r="11" spans="1:12" ht="20.100000000000001" customHeight="1" x14ac:dyDescent="0.2">
      <c r="A11" s="18" t="s">
        <v>66</v>
      </c>
      <c r="B11" s="14">
        <v>0</v>
      </c>
      <c r="C11" s="14"/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95"/>
    </row>
    <row r="12" spans="1:12" ht="20.100000000000001" customHeight="1" x14ac:dyDescent="0.2">
      <c r="A12" s="20" t="s">
        <v>57</v>
      </c>
      <c r="B12" s="14">
        <v>1287072.1839999999</v>
      </c>
      <c r="C12" s="14">
        <v>188130.87775000001</v>
      </c>
      <c r="D12" s="14">
        <v>4329.5010000000002</v>
      </c>
      <c r="E12" s="14">
        <v>1126027.3430000001</v>
      </c>
      <c r="F12" s="14">
        <v>7441.4570000000003</v>
      </c>
      <c r="G12" s="14">
        <v>459245.41700000002</v>
      </c>
      <c r="H12" s="14">
        <v>110999.02899999999</v>
      </c>
      <c r="I12" s="14">
        <v>4868.9830000000002</v>
      </c>
      <c r="J12" s="14">
        <v>1821732.277</v>
      </c>
      <c r="K12" s="14">
        <v>4232080.4469999997</v>
      </c>
      <c r="L12" s="195">
        <f>SUM(B12:K12)</f>
        <v>9241927.5157499984</v>
      </c>
    </row>
    <row r="13" spans="1:12" ht="20.100000000000001" customHeight="1" x14ac:dyDescent="0.2">
      <c r="A13" s="20" t="s">
        <v>58</v>
      </c>
      <c r="B13" s="14">
        <v>28425.074000000001</v>
      </c>
      <c r="C13" s="14">
        <v>15572.876</v>
      </c>
      <c r="D13" s="14">
        <v>0</v>
      </c>
      <c r="E13" s="14">
        <v>101107.52099999999</v>
      </c>
      <c r="F13" s="14">
        <v>0</v>
      </c>
      <c r="G13" s="14">
        <v>0</v>
      </c>
      <c r="H13" s="14">
        <v>3923.482</v>
      </c>
      <c r="I13" s="14">
        <v>40</v>
      </c>
      <c r="J13" s="14">
        <v>68883.479000000007</v>
      </c>
      <c r="K13" s="14">
        <v>30646.933000000001</v>
      </c>
      <c r="L13" s="195">
        <f t="shared" ref="L13:L14" si="1">SUM(B13:K13)</f>
        <v>248599.36499999996</v>
      </c>
    </row>
    <row r="14" spans="1:12" ht="20.100000000000001" customHeight="1" x14ac:dyDescent="0.2">
      <c r="A14" s="20" t="s">
        <v>59</v>
      </c>
      <c r="B14" s="14">
        <v>1258647.1100000001</v>
      </c>
      <c r="C14" s="14">
        <v>172558.00175</v>
      </c>
      <c r="D14" s="14">
        <v>4329.5010000000002</v>
      </c>
      <c r="E14" s="14">
        <v>1024919.822</v>
      </c>
      <c r="F14" s="14">
        <v>7441.4570000000003</v>
      </c>
      <c r="G14" s="14">
        <v>459245.41700000002</v>
      </c>
      <c r="H14" s="14">
        <v>107075.54700000001</v>
      </c>
      <c r="I14" s="14">
        <v>4828.9830000000002</v>
      </c>
      <c r="J14" s="14">
        <v>1752848.798</v>
      </c>
      <c r="K14" s="14">
        <v>4201433.5140000004</v>
      </c>
      <c r="L14" s="195">
        <f t="shared" si="1"/>
        <v>8993328.15075</v>
      </c>
    </row>
    <row r="15" spans="1:12" ht="20.100000000000001" customHeight="1" x14ac:dyDescent="0.2">
      <c r="A15" s="18" t="s">
        <v>67</v>
      </c>
      <c r="B15" s="14">
        <v>0</v>
      </c>
      <c r="C15" s="14">
        <v>0</v>
      </c>
      <c r="D15" s="14">
        <v>0</v>
      </c>
      <c r="E15" s="14"/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95"/>
    </row>
    <row r="16" spans="1:12" ht="20.100000000000001" customHeight="1" x14ac:dyDescent="0.2">
      <c r="A16" s="20" t="s">
        <v>60</v>
      </c>
      <c r="B16" s="14">
        <v>0</v>
      </c>
      <c r="C16" s="14">
        <v>0</v>
      </c>
      <c r="D16" s="14">
        <v>8.4090000000000007</v>
      </c>
      <c r="E16" s="14">
        <v>39234.654000000002</v>
      </c>
      <c r="F16" s="14">
        <v>0</v>
      </c>
      <c r="G16" s="14">
        <v>0</v>
      </c>
      <c r="H16" s="14">
        <v>2745.4830000000002</v>
      </c>
      <c r="I16" s="14">
        <v>0</v>
      </c>
      <c r="J16" s="14">
        <v>28762.16</v>
      </c>
      <c r="K16" s="14">
        <v>83372.289000000004</v>
      </c>
      <c r="L16" s="195">
        <f>SUM(B16:K16)</f>
        <v>154122.995</v>
      </c>
    </row>
    <row r="17" spans="1:12" ht="20.100000000000001" customHeight="1" x14ac:dyDescent="0.2">
      <c r="A17" s="20" t="s">
        <v>61</v>
      </c>
      <c r="B17" s="14">
        <v>111089.117</v>
      </c>
      <c r="C17" s="14">
        <v>8093.6174099999989</v>
      </c>
      <c r="D17" s="14">
        <v>2.5070000000000001</v>
      </c>
      <c r="E17" s="14">
        <v>110635.01</v>
      </c>
      <c r="F17" s="14">
        <v>0</v>
      </c>
      <c r="G17" s="14">
        <v>25347.411</v>
      </c>
      <c r="H17" s="14">
        <v>5646.6139999999996</v>
      </c>
      <c r="I17" s="14">
        <v>0</v>
      </c>
      <c r="J17" s="14">
        <v>67513.675000000003</v>
      </c>
      <c r="K17" s="14">
        <v>144763.85399999999</v>
      </c>
      <c r="L17" s="195">
        <f t="shared" ref="L17:L22" si="2">SUM(B17:K17)</f>
        <v>473091.80540999997</v>
      </c>
    </row>
    <row r="18" spans="1:12" ht="20.100000000000001" customHeight="1" x14ac:dyDescent="0.2">
      <c r="A18" s="20" t="s">
        <v>59</v>
      </c>
      <c r="B18" s="14">
        <v>-111089.117</v>
      </c>
      <c r="C18" s="14">
        <v>-8093.6174099999989</v>
      </c>
      <c r="D18" s="14">
        <v>5.9020000000000001</v>
      </c>
      <c r="E18" s="14">
        <v>-71400.356</v>
      </c>
      <c r="F18" s="14">
        <v>0</v>
      </c>
      <c r="G18" s="14">
        <v>-25347.411</v>
      </c>
      <c r="H18" s="14">
        <v>-2901.1309999999999</v>
      </c>
      <c r="I18" s="14">
        <v>0</v>
      </c>
      <c r="J18" s="14">
        <v>-38751.514999999999</v>
      </c>
      <c r="K18" s="14">
        <v>-61391.565000000002</v>
      </c>
      <c r="L18" s="195">
        <f t="shared" si="2"/>
        <v>-318968.81040999998</v>
      </c>
    </row>
    <row r="19" spans="1:12" ht="20.100000000000001" customHeight="1" x14ac:dyDescent="0.2">
      <c r="A19" s="20" t="s">
        <v>27</v>
      </c>
      <c r="B19" s="14">
        <v>178721.69899999999</v>
      </c>
      <c r="C19" s="14">
        <v>72066.542849999983</v>
      </c>
      <c r="D19" s="14">
        <v>892.98800000000006</v>
      </c>
      <c r="E19" s="14">
        <v>213604.49100000001</v>
      </c>
      <c r="F19" s="14">
        <v>829.48599999999999</v>
      </c>
      <c r="G19" s="14">
        <v>83223.19</v>
      </c>
      <c r="H19" s="14">
        <v>43736.762880000002</v>
      </c>
      <c r="I19" s="14">
        <v>283.53949999999998</v>
      </c>
      <c r="J19" s="14">
        <v>312649.408</v>
      </c>
      <c r="K19" s="14">
        <v>620398.29983999988</v>
      </c>
      <c r="L19" s="195">
        <f t="shared" si="2"/>
        <v>1526406.4070699997</v>
      </c>
    </row>
    <row r="20" spans="1:12" ht="20.100000000000001" customHeight="1" x14ac:dyDescent="0.2">
      <c r="A20" s="20" t="s">
        <v>28</v>
      </c>
      <c r="B20" s="14">
        <v>0</v>
      </c>
      <c r="C20" s="14">
        <v>0</v>
      </c>
      <c r="D20" s="14">
        <v>47.213999999999999</v>
      </c>
      <c r="E20" s="14">
        <v>0</v>
      </c>
      <c r="F20" s="14">
        <v>0</v>
      </c>
      <c r="G20" s="14">
        <v>-34942.684000000001</v>
      </c>
      <c r="H20" s="14">
        <v>0</v>
      </c>
      <c r="I20" s="14">
        <v>0</v>
      </c>
      <c r="J20" s="14">
        <v>3062.23</v>
      </c>
      <c r="K20" s="14">
        <v>0</v>
      </c>
      <c r="L20" s="195">
        <f t="shared" si="2"/>
        <v>-31833.24</v>
      </c>
    </row>
    <row r="21" spans="1:12" ht="20.100000000000001" customHeight="1" x14ac:dyDescent="0.2">
      <c r="A21" s="22" t="s">
        <v>29</v>
      </c>
      <c r="B21" s="14">
        <v>7885775.375</v>
      </c>
      <c r="C21" s="14">
        <v>923713.54878888337</v>
      </c>
      <c r="D21" s="14">
        <v>33142.087</v>
      </c>
      <c r="E21" s="14">
        <v>10200015.114</v>
      </c>
      <c r="F21" s="14">
        <v>31115.263999999999</v>
      </c>
      <c r="G21" s="14">
        <v>4334516.7350000003</v>
      </c>
      <c r="H21" s="14">
        <v>656054.28700000001</v>
      </c>
      <c r="I21" s="14">
        <v>34790.023999999998</v>
      </c>
      <c r="J21" s="14">
        <v>12965036.889</v>
      </c>
      <c r="K21" s="14">
        <v>52790702.868749999</v>
      </c>
      <c r="L21" s="195">
        <f t="shared" si="2"/>
        <v>89854862.192538887</v>
      </c>
    </row>
    <row r="22" spans="1:12" ht="20.100000000000001" customHeight="1" x14ac:dyDescent="0.2">
      <c r="A22" s="24" t="s">
        <v>63</v>
      </c>
      <c r="B22" s="14">
        <v>7926802.3899999997</v>
      </c>
      <c r="C22" s="14">
        <v>814665.74399999995</v>
      </c>
      <c r="D22" s="14">
        <v>31198.322</v>
      </c>
      <c r="E22" s="14">
        <v>10502139.85</v>
      </c>
      <c r="F22" s="14">
        <v>24950.039000000001</v>
      </c>
      <c r="G22" s="14">
        <v>4577703.4510000004</v>
      </c>
      <c r="H22" s="14">
        <v>837267.35900000005</v>
      </c>
      <c r="I22" s="14">
        <v>34511.381999999998</v>
      </c>
      <c r="J22" s="14">
        <v>13486848.810000001</v>
      </c>
      <c r="K22" s="14">
        <v>51132210.938000001</v>
      </c>
      <c r="L22" s="196">
        <f t="shared" si="2"/>
        <v>89368298.284999996</v>
      </c>
    </row>
    <row r="23" spans="1:12" x14ac:dyDescent="0.2">
      <c r="A23" s="16"/>
      <c r="B23" s="16"/>
    </row>
    <row r="24" spans="1:12" x14ac:dyDescent="0.2">
      <c r="A24" s="17" t="s">
        <v>62</v>
      </c>
      <c r="B24" s="17"/>
      <c r="C24" s="16"/>
      <c r="D24" s="16"/>
      <c r="E24" s="16"/>
      <c r="F24" s="16"/>
      <c r="G24" s="16"/>
      <c r="H24" s="16"/>
      <c r="I24" s="16"/>
      <c r="J24" s="16"/>
      <c r="K24" s="16"/>
      <c r="L24" s="16"/>
    </row>
    <row r="25" spans="1:12" x14ac:dyDescent="0.2">
      <c r="A25" s="17" t="s">
        <v>87</v>
      </c>
      <c r="B25" s="17"/>
      <c r="C25" s="16"/>
      <c r="D25" s="16"/>
      <c r="E25" s="16"/>
      <c r="F25" s="16"/>
      <c r="G25" s="16"/>
      <c r="H25" s="16"/>
      <c r="I25" s="16"/>
      <c r="J25" s="16"/>
      <c r="K25" s="16"/>
      <c r="L25" s="16"/>
    </row>
    <row r="26" spans="1:12" x14ac:dyDescent="0.2">
      <c r="A26" s="25" t="s">
        <v>76</v>
      </c>
      <c r="B26" s="25"/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7" spans="1:12" x14ac:dyDescent="0.2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</sheetData>
  <mergeCells count="3">
    <mergeCell ref="A1:L1"/>
    <mergeCell ref="A2:L2"/>
    <mergeCell ref="A3:L3"/>
  </mergeCells>
  <pageMargins left="0.7" right="0.7" top="0.75" bottom="0.75" header="0.3" footer="0.3"/>
  <pageSetup scale="67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showGridLines="0" workbookViewId="0">
      <pane xSplit="1" ySplit="4" topLeftCell="B5" activePane="bottomRight" state="frozen"/>
      <selection activeCell="E48" sqref="E48"/>
      <selection pane="topRight" activeCell="E48" sqref="E48"/>
      <selection pane="bottomLeft" activeCell="E48" sqref="E48"/>
      <selection pane="bottomRight" activeCell="B25" sqref="B25"/>
    </sheetView>
  </sheetViews>
  <sheetFormatPr defaultColWidth="9" defaultRowHeight="12.75" x14ac:dyDescent="0.2"/>
  <cols>
    <col min="1" max="1" width="41.28515625" style="63" bestFit="1" customWidth="1"/>
    <col min="2" max="2" width="18.28515625" style="61" customWidth="1"/>
    <col min="3" max="3" width="12.28515625" style="61" customWidth="1"/>
    <col min="4" max="4" width="9.5703125" style="61" customWidth="1"/>
    <col min="5" max="5" width="10.5703125" style="61" customWidth="1"/>
    <col min="6" max="6" width="13" style="61" customWidth="1"/>
    <col min="7" max="7" width="9.85546875" style="62" customWidth="1"/>
    <col min="8" max="8" width="10.5703125" style="61" customWidth="1"/>
    <col min="9" max="9" width="17.7109375" style="61" customWidth="1"/>
    <col min="10" max="10" width="10.7109375" style="61" customWidth="1"/>
    <col min="11" max="11" width="12.7109375" style="61" customWidth="1"/>
    <col min="12" max="12" width="14" style="63" bestFit="1" customWidth="1"/>
    <col min="13" max="253" width="9" style="1"/>
    <col min="254" max="254" width="24.85546875" style="1" customWidth="1"/>
    <col min="255" max="255" width="18.28515625" style="1" customWidth="1"/>
    <col min="256" max="256" width="12.28515625" style="1" customWidth="1"/>
    <col min="257" max="257" width="0" style="1" hidden="1" customWidth="1"/>
    <col min="258" max="258" width="9.5703125" style="1" customWidth="1"/>
    <col min="259" max="260" width="10.5703125" style="1" customWidth="1"/>
    <col min="261" max="261" width="9.85546875" style="1" customWidth="1"/>
    <col min="262" max="263" width="10.5703125" style="1" customWidth="1"/>
    <col min="264" max="264" width="0" style="1" hidden="1" customWidth="1"/>
    <col min="265" max="265" width="10.7109375" style="1" customWidth="1"/>
    <col min="266" max="266" width="12.7109375" style="1" customWidth="1"/>
    <col min="267" max="267" width="0" style="1" hidden="1" customWidth="1"/>
    <col min="268" max="268" width="14.42578125" style="1" customWidth="1"/>
    <col min="269" max="509" width="9" style="1"/>
    <col min="510" max="510" width="24.85546875" style="1" customWidth="1"/>
    <col min="511" max="511" width="18.28515625" style="1" customWidth="1"/>
    <col min="512" max="512" width="12.28515625" style="1" customWidth="1"/>
    <col min="513" max="513" width="0" style="1" hidden="1" customWidth="1"/>
    <col min="514" max="514" width="9.5703125" style="1" customWidth="1"/>
    <col min="515" max="516" width="10.5703125" style="1" customWidth="1"/>
    <col min="517" max="517" width="9.85546875" style="1" customWidth="1"/>
    <col min="518" max="519" width="10.5703125" style="1" customWidth="1"/>
    <col min="520" max="520" width="0" style="1" hidden="1" customWidth="1"/>
    <col min="521" max="521" width="10.7109375" style="1" customWidth="1"/>
    <col min="522" max="522" width="12.7109375" style="1" customWidth="1"/>
    <col min="523" max="523" width="0" style="1" hidden="1" customWidth="1"/>
    <col min="524" max="524" width="14.42578125" style="1" customWidth="1"/>
    <col min="525" max="765" width="9" style="1"/>
    <col min="766" max="766" width="24.85546875" style="1" customWidth="1"/>
    <col min="767" max="767" width="18.28515625" style="1" customWidth="1"/>
    <col min="768" max="768" width="12.28515625" style="1" customWidth="1"/>
    <col min="769" max="769" width="0" style="1" hidden="1" customWidth="1"/>
    <col min="770" max="770" width="9.5703125" style="1" customWidth="1"/>
    <col min="771" max="772" width="10.5703125" style="1" customWidth="1"/>
    <col min="773" max="773" width="9.85546875" style="1" customWidth="1"/>
    <col min="774" max="775" width="10.5703125" style="1" customWidth="1"/>
    <col min="776" max="776" width="0" style="1" hidden="1" customWidth="1"/>
    <col min="777" max="777" width="10.7109375" style="1" customWidth="1"/>
    <col min="778" max="778" width="12.7109375" style="1" customWidth="1"/>
    <col min="779" max="779" width="0" style="1" hidden="1" customWidth="1"/>
    <col min="780" max="780" width="14.42578125" style="1" customWidth="1"/>
    <col min="781" max="1021" width="9" style="1"/>
    <col min="1022" max="1022" width="24.85546875" style="1" customWidth="1"/>
    <col min="1023" max="1023" width="18.28515625" style="1" customWidth="1"/>
    <col min="1024" max="1024" width="12.28515625" style="1" customWidth="1"/>
    <col min="1025" max="1025" width="0" style="1" hidden="1" customWidth="1"/>
    <col min="1026" max="1026" width="9.5703125" style="1" customWidth="1"/>
    <col min="1027" max="1028" width="10.5703125" style="1" customWidth="1"/>
    <col min="1029" max="1029" width="9.85546875" style="1" customWidth="1"/>
    <col min="1030" max="1031" width="10.5703125" style="1" customWidth="1"/>
    <col min="1032" max="1032" width="0" style="1" hidden="1" customWidth="1"/>
    <col min="1033" max="1033" width="10.7109375" style="1" customWidth="1"/>
    <col min="1034" max="1034" width="12.7109375" style="1" customWidth="1"/>
    <col min="1035" max="1035" width="0" style="1" hidden="1" customWidth="1"/>
    <col min="1036" max="1036" width="14.42578125" style="1" customWidth="1"/>
    <col min="1037" max="1277" width="9" style="1"/>
    <col min="1278" max="1278" width="24.85546875" style="1" customWidth="1"/>
    <col min="1279" max="1279" width="18.28515625" style="1" customWidth="1"/>
    <col min="1280" max="1280" width="12.28515625" style="1" customWidth="1"/>
    <col min="1281" max="1281" width="0" style="1" hidden="1" customWidth="1"/>
    <col min="1282" max="1282" width="9.5703125" style="1" customWidth="1"/>
    <col min="1283" max="1284" width="10.5703125" style="1" customWidth="1"/>
    <col min="1285" max="1285" width="9.85546875" style="1" customWidth="1"/>
    <col min="1286" max="1287" width="10.5703125" style="1" customWidth="1"/>
    <col min="1288" max="1288" width="0" style="1" hidden="1" customWidth="1"/>
    <col min="1289" max="1289" width="10.7109375" style="1" customWidth="1"/>
    <col min="1290" max="1290" width="12.7109375" style="1" customWidth="1"/>
    <col min="1291" max="1291" width="0" style="1" hidden="1" customWidth="1"/>
    <col min="1292" max="1292" width="14.42578125" style="1" customWidth="1"/>
    <col min="1293" max="1533" width="9" style="1"/>
    <col min="1534" max="1534" width="24.85546875" style="1" customWidth="1"/>
    <col min="1535" max="1535" width="18.28515625" style="1" customWidth="1"/>
    <col min="1536" max="1536" width="12.28515625" style="1" customWidth="1"/>
    <col min="1537" max="1537" width="0" style="1" hidden="1" customWidth="1"/>
    <col min="1538" max="1538" width="9.5703125" style="1" customWidth="1"/>
    <col min="1539" max="1540" width="10.5703125" style="1" customWidth="1"/>
    <col min="1541" max="1541" width="9.85546875" style="1" customWidth="1"/>
    <col min="1542" max="1543" width="10.5703125" style="1" customWidth="1"/>
    <col min="1544" max="1544" width="0" style="1" hidden="1" customWidth="1"/>
    <col min="1545" max="1545" width="10.7109375" style="1" customWidth="1"/>
    <col min="1546" max="1546" width="12.7109375" style="1" customWidth="1"/>
    <col min="1547" max="1547" width="0" style="1" hidden="1" customWidth="1"/>
    <col min="1548" max="1548" width="14.42578125" style="1" customWidth="1"/>
    <col min="1549" max="1789" width="9" style="1"/>
    <col min="1790" max="1790" width="24.85546875" style="1" customWidth="1"/>
    <col min="1791" max="1791" width="18.28515625" style="1" customWidth="1"/>
    <col min="1792" max="1792" width="12.28515625" style="1" customWidth="1"/>
    <col min="1793" max="1793" width="0" style="1" hidden="1" customWidth="1"/>
    <col min="1794" max="1794" width="9.5703125" style="1" customWidth="1"/>
    <col min="1795" max="1796" width="10.5703125" style="1" customWidth="1"/>
    <col min="1797" max="1797" width="9.85546875" style="1" customWidth="1"/>
    <col min="1798" max="1799" width="10.5703125" style="1" customWidth="1"/>
    <col min="1800" max="1800" width="0" style="1" hidden="1" customWidth="1"/>
    <col min="1801" max="1801" width="10.7109375" style="1" customWidth="1"/>
    <col min="1802" max="1802" width="12.7109375" style="1" customWidth="1"/>
    <col min="1803" max="1803" width="0" style="1" hidden="1" customWidth="1"/>
    <col min="1804" max="1804" width="14.42578125" style="1" customWidth="1"/>
    <col min="1805" max="2045" width="9" style="1"/>
    <col min="2046" max="2046" width="24.85546875" style="1" customWidth="1"/>
    <col min="2047" max="2047" width="18.28515625" style="1" customWidth="1"/>
    <col min="2048" max="2048" width="12.28515625" style="1" customWidth="1"/>
    <col min="2049" max="2049" width="0" style="1" hidden="1" customWidth="1"/>
    <col min="2050" max="2050" width="9.5703125" style="1" customWidth="1"/>
    <col min="2051" max="2052" width="10.5703125" style="1" customWidth="1"/>
    <col min="2053" max="2053" width="9.85546875" style="1" customWidth="1"/>
    <col min="2054" max="2055" width="10.5703125" style="1" customWidth="1"/>
    <col min="2056" max="2056" width="0" style="1" hidden="1" customWidth="1"/>
    <col min="2057" max="2057" width="10.7109375" style="1" customWidth="1"/>
    <col min="2058" max="2058" width="12.7109375" style="1" customWidth="1"/>
    <col min="2059" max="2059" width="0" style="1" hidden="1" customWidth="1"/>
    <col min="2060" max="2060" width="14.42578125" style="1" customWidth="1"/>
    <col min="2061" max="2301" width="9" style="1"/>
    <col min="2302" max="2302" width="24.85546875" style="1" customWidth="1"/>
    <col min="2303" max="2303" width="18.28515625" style="1" customWidth="1"/>
    <col min="2304" max="2304" width="12.28515625" style="1" customWidth="1"/>
    <col min="2305" max="2305" width="0" style="1" hidden="1" customWidth="1"/>
    <col min="2306" max="2306" width="9.5703125" style="1" customWidth="1"/>
    <col min="2307" max="2308" width="10.5703125" style="1" customWidth="1"/>
    <col min="2309" max="2309" width="9.85546875" style="1" customWidth="1"/>
    <col min="2310" max="2311" width="10.5703125" style="1" customWidth="1"/>
    <col min="2312" max="2312" width="0" style="1" hidden="1" customWidth="1"/>
    <col min="2313" max="2313" width="10.7109375" style="1" customWidth="1"/>
    <col min="2314" max="2314" width="12.7109375" style="1" customWidth="1"/>
    <col min="2315" max="2315" width="0" style="1" hidden="1" customWidth="1"/>
    <col min="2316" max="2316" width="14.42578125" style="1" customWidth="1"/>
    <col min="2317" max="2557" width="9" style="1"/>
    <col min="2558" max="2558" width="24.85546875" style="1" customWidth="1"/>
    <col min="2559" max="2559" width="18.28515625" style="1" customWidth="1"/>
    <col min="2560" max="2560" width="12.28515625" style="1" customWidth="1"/>
    <col min="2561" max="2561" width="0" style="1" hidden="1" customWidth="1"/>
    <col min="2562" max="2562" width="9.5703125" style="1" customWidth="1"/>
    <col min="2563" max="2564" width="10.5703125" style="1" customWidth="1"/>
    <col min="2565" max="2565" width="9.85546875" style="1" customWidth="1"/>
    <col min="2566" max="2567" width="10.5703125" style="1" customWidth="1"/>
    <col min="2568" max="2568" width="0" style="1" hidden="1" customWidth="1"/>
    <col min="2569" max="2569" width="10.7109375" style="1" customWidth="1"/>
    <col min="2570" max="2570" width="12.7109375" style="1" customWidth="1"/>
    <col min="2571" max="2571" width="0" style="1" hidden="1" customWidth="1"/>
    <col min="2572" max="2572" width="14.42578125" style="1" customWidth="1"/>
    <col min="2573" max="2813" width="9" style="1"/>
    <col min="2814" max="2814" width="24.85546875" style="1" customWidth="1"/>
    <col min="2815" max="2815" width="18.28515625" style="1" customWidth="1"/>
    <col min="2816" max="2816" width="12.28515625" style="1" customWidth="1"/>
    <col min="2817" max="2817" width="0" style="1" hidden="1" customWidth="1"/>
    <col min="2818" max="2818" width="9.5703125" style="1" customWidth="1"/>
    <col min="2819" max="2820" width="10.5703125" style="1" customWidth="1"/>
    <col min="2821" max="2821" width="9.85546875" style="1" customWidth="1"/>
    <col min="2822" max="2823" width="10.5703125" style="1" customWidth="1"/>
    <col min="2824" max="2824" width="0" style="1" hidden="1" customWidth="1"/>
    <col min="2825" max="2825" width="10.7109375" style="1" customWidth="1"/>
    <col min="2826" max="2826" width="12.7109375" style="1" customWidth="1"/>
    <col min="2827" max="2827" width="0" style="1" hidden="1" customWidth="1"/>
    <col min="2828" max="2828" width="14.42578125" style="1" customWidth="1"/>
    <col min="2829" max="3069" width="9" style="1"/>
    <col min="3070" max="3070" width="24.85546875" style="1" customWidth="1"/>
    <col min="3071" max="3071" width="18.28515625" style="1" customWidth="1"/>
    <col min="3072" max="3072" width="12.28515625" style="1" customWidth="1"/>
    <col min="3073" max="3073" width="0" style="1" hidden="1" customWidth="1"/>
    <col min="3074" max="3074" width="9.5703125" style="1" customWidth="1"/>
    <col min="3075" max="3076" width="10.5703125" style="1" customWidth="1"/>
    <col min="3077" max="3077" width="9.85546875" style="1" customWidth="1"/>
    <col min="3078" max="3079" width="10.5703125" style="1" customWidth="1"/>
    <col min="3080" max="3080" width="0" style="1" hidden="1" customWidth="1"/>
    <col min="3081" max="3081" width="10.7109375" style="1" customWidth="1"/>
    <col min="3082" max="3082" width="12.7109375" style="1" customWidth="1"/>
    <col min="3083" max="3083" width="0" style="1" hidden="1" customWidth="1"/>
    <col min="3084" max="3084" width="14.42578125" style="1" customWidth="1"/>
    <col min="3085" max="3325" width="9" style="1"/>
    <col min="3326" max="3326" width="24.85546875" style="1" customWidth="1"/>
    <col min="3327" max="3327" width="18.28515625" style="1" customWidth="1"/>
    <col min="3328" max="3328" width="12.28515625" style="1" customWidth="1"/>
    <col min="3329" max="3329" width="0" style="1" hidden="1" customWidth="1"/>
    <col min="3330" max="3330" width="9.5703125" style="1" customWidth="1"/>
    <col min="3331" max="3332" width="10.5703125" style="1" customWidth="1"/>
    <col min="3333" max="3333" width="9.85546875" style="1" customWidth="1"/>
    <col min="3334" max="3335" width="10.5703125" style="1" customWidth="1"/>
    <col min="3336" max="3336" width="0" style="1" hidden="1" customWidth="1"/>
    <col min="3337" max="3337" width="10.7109375" style="1" customWidth="1"/>
    <col min="3338" max="3338" width="12.7109375" style="1" customWidth="1"/>
    <col min="3339" max="3339" width="0" style="1" hidden="1" customWidth="1"/>
    <col min="3340" max="3340" width="14.42578125" style="1" customWidth="1"/>
    <col min="3341" max="3581" width="9" style="1"/>
    <col min="3582" max="3582" width="24.85546875" style="1" customWidth="1"/>
    <col min="3583" max="3583" width="18.28515625" style="1" customWidth="1"/>
    <col min="3584" max="3584" width="12.28515625" style="1" customWidth="1"/>
    <col min="3585" max="3585" width="0" style="1" hidden="1" customWidth="1"/>
    <col min="3586" max="3586" width="9.5703125" style="1" customWidth="1"/>
    <col min="3587" max="3588" width="10.5703125" style="1" customWidth="1"/>
    <col min="3589" max="3589" width="9.85546875" style="1" customWidth="1"/>
    <col min="3590" max="3591" width="10.5703125" style="1" customWidth="1"/>
    <col min="3592" max="3592" width="0" style="1" hidden="1" customWidth="1"/>
    <col min="3593" max="3593" width="10.7109375" style="1" customWidth="1"/>
    <col min="3594" max="3594" width="12.7109375" style="1" customWidth="1"/>
    <col min="3595" max="3595" width="0" style="1" hidden="1" customWidth="1"/>
    <col min="3596" max="3596" width="14.42578125" style="1" customWidth="1"/>
    <col min="3597" max="3837" width="9" style="1"/>
    <col min="3838" max="3838" width="24.85546875" style="1" customWidth="1"/>
    <col min="3839" max="3839" width="18.28515625" style="1" customWidth="1"/>
    <col min="3840" max="3840" width="12.28515625" style="1" customWidth="1"/>
    <col min="3841" max="3841" width="0" style="1" hidden="1" customWidth="1"/>
    <col min="3842" max="3842" width="9.5703125" style="1" customWidth="1"/>
    <col min="3843" max="3844" width="10.5703125" style="1" customWidth="1"/>
    <col min="3845" max="3845" width="9.85546875" style="1" customWidth="1"/>
    <col min="3846" max="3847" width="10.5703125" style="1" customWidth="1"/>
    <col min="3848" max="3848" width="0" style="1" hidden="1" customWidth="1"/>
    <col min="3849" max="3849" width="10.7109375" style="1" customWidth="1"/>
    <col min="3850" max="3850" width="12.7109375" style="1" customWidth="1"/>
    <col min="3851" max="3851" width="0" style="1" hidden="1" customWidth="1"/>
    <col min="3852" max="3852" width="14.42578125" style="1" customWidth="1"/>
    <col min="3853" max="4093" width="9" style="1"/>
    <col min="4094" max="4094" width="24.85546875" style="1" customWidth="1"/>
    <col min="4095" max="4095" width="18.28515625" style="1" customWidth="1"/>
    <col min="4096" max="4096" width="12.28515625" style="1" customWidth="1"/>
    <col min="4097" max="4097" width="0" style="1" hidden="1" customWidth="1"/>
    <col min="4098" max="4098" width="9.5703125" style="1" customWidth="1"/>
    <col min="4099" max="4100" width="10.5703125" style="1" customWidth="1"/>
    <col min="4101" max="4101" width="9.85546875" style="1" customWidth="1"/>
    <col min="4102" max="4103" width="10.5703125" style="1" customWidth="1"/>
    <col min="4104" max="4104" width="0" style="1" hidden="1" customWidth="1"/>
    <col min="4105" max="4105" width="10.7109375" style="1" customWidth="1"/>
    <col min="4106" max="4106" width="12.7109375" style="1" customWidth="1"/>
    <col min="4107" max="4107" width="0" style="1" hidden="1" customWidth="1"/>
    <col min="4108" max="4108" width="14.42578125" style="1" customWidth="1"/>
    <col min="4109" max="4349" width="9" style="1"/>
    <col min="4350" max="4350" width="24.85546875" style="1" customWidth="1"/>
    <col min="4351" max="4351" width="18.28515625" style="1" customWidth="1"/>
    <col min="4352" max="4352" width="12.28515625" style="1" customWidth="1"/>
    <col min="4353" max="4353" width="0" style="1" hidden="1" customWidth="1"/>
    <col min="4354" max="4354" width="9.5703125" style="1" customWidth="1"/>
    <col min="4355" max="4356" width="10.5703125" style="1" customWidth="1"/>
    <col min="4357" max="4357" width="9.85546875" style="1" customWidth="1"/>
    <col min="4358" max="4359" width="10.5703125" style="1" customWidth="1"/>
    <col min="4360" max="4360" width="0" style="1" hidden="1" customWidth="1"/>
    <col min="4361" max="4361" width="10.7109375" style="1" customWidth="1"/>
    <col min="4362" max="4362" width="12.7109375" style="1" customWidth="1"/>
    <col min="4363" max="4363" width="0" style="1" hidden="1" customWidth="1"/>
    <col min="4364" max="4364" width="14.42578125" style="1" customWidth="1"/>
    <col min="4365" max="4605" width="9" style="1"/>
    <col min="4606" max="4606" width="24.85546875" style="1" customWidth="1"/>
    <col min="4607" max="4607" width="18.28515625" style="1" customWidth="1"/>
    <col min="4608" max="4608" width="12.28515625" style="1" customWidth="1"/>
    <col min="4609" max="4609" width="0" style="1" hidden="1" customWidth="1"/>
    <col min="4610" max="4610" width="9.5703125" style="1" customWidth="1"/>
    <col min="4611" max="4612" width="10.5703125" style="1" customWidth="1"/>
    <col min="4613" max="4613" width="9.85546875" style="1" customWidth="1"/>
    <col min="4614" max="4615" width="10.5703125" style="1" customWidth="1"/>
    <col min="4616" max="4616" width="0" style="1" hidden="1" customWidth="1"/>
    <col min="4617" max="4617" width="10.7109375" style="1" customWidth="1"/>
    <col min="4618" max="4618" width="12.7109375" style="1" customWidth="1"/>
    <col min="4619" max="4619" width="0" style="1" hidden="1" customWidth="1"/>
    <col min="4620" max="4620" width="14.42578125" style="1" customWidth="1"/>
    <col min="4621" max="4861" width="9" style="1"/>
    <col min="4862" max="4862" width="24.85546875" style="1" customWidth="1"/>
    <col min="4863" max="4863" width="18.28515625" style="1" customWidth="1"/>
    <col min="4864" max="4864" width="12.28515625" style="1" customWidth="1"/>
    <col min="4865" max="4865" width="0" style="1" hidden="1" customWidth="1"/>
    <col min="4866" max="4866" width="9.5703125" style="1" customWidth="1"/>
    <col min="4867" max="4868" width="10.5703125" style="1" customWidth="1"/>
    <col min="4869" max="4869" width="9.85546875" style="1" customWidth="1"/>
    <col min="4870" max="4871" width="10.5703125" style="1" customWidth="1"/>
    <col min="4872" max="4872" width="0" style="1" hidden="1" customWidth="1"/>
    <col min="4873" max="4873" width="10.7109375" style="1" customWidth="1"/>
    <col min="4874" max="4874" width="12.7109375" style="1" customWidth="1"/>
    <col min="4875" max="4875" width="0" style="1" hidden="1" customWidth="1"/>
    <col min="4876" max="4876" width="14.42578125" style="1" customWidth="1"/>
    <col min="4877" max="5117" width="9" style="1"/>
    <col min="5118" max="5118" width="24.85546875" style="1" customWidth="1"/>
    <col min="5119" max="5119" width="18.28515625" style="1" customWidth="1"/>
    <col min="5120" max="5120" width="12.28515625" style="1" customWidth="1"/>
    <col min="5121" max="5121" width="0" style="1" hidden="1" customWidth="1"/>
    <col min="5122" max="5122" width="9.5703125" style="1" customWidth="1"/>
    <col min="5123" max="5124" width="10.5703125" style="1" customWidth="1"/>
    <col min="5125" max="5125" width="9.85546875" style="1" customWidth="1"/>
    <col min="5126" max="5127" width="10.5703125" style="1" customWidth="1"/>
    <col min="5128" max="5128" width="0" style="1" hidden="1" customWidth="1"/>
    <col min="5129" max="5129" width="10.7109375" style="1" customWidth="1"/>
    <col min="5130" max="5130" width="12.7109375" style="1" customWidth="1"/>
    <col min="5131" max="5131" width="0" style="1" hidden="1" customWidth="1"/>
    <col min="5132" max="5132" width="14.42578125" style="1" customWidth="1"/>
    <col min="5133" max="5373" width="9" style="1"/>
    <col min="5374" max="5374" width="24.85546875" style="1" customWidth="1"/>
    <col min="5375" max="5375" width="18.28515625" style="1" customWidth="1"/>
    <col min="5376" max="5376" width="12.28515625" style="1" customWidth="1"/>
    <col min="5377" max="5377" width="0" style="1" hidden="1" customWidth="1"/>
    <col min="5378" max="5378" width="9.5703125" style="1" customWidth="1"/>
    <col min="5379" max="5380" width="10.5703125" style="1" customWidth="1"/>
    <col min="5381" max="5381" width="9.85546875" style="1" customWidth="1"/>
    <col min="5382" max="5383" width="10.5703125" style="1" customWidth="1"/>
    <col min="5384" max="5384" width="0" style="1" hidden="1" customWidth="1"/>
    <col min="5385" max="5385" width="10.7109375" style="1" customWidth="1"/>
    <col min="5386" max="5386" width="12.7109375" style="1" customWidth="1"/>
    <col min="5387" max="5387" width="0" style="1" hidden="1" customWidth="1"/>
    <col min="5388" max="5388" width="14.42578125" style="1" customWidth="1"/>
    <col min="5389" max="5629" width="9" style="1"/>
    <col min="5630" max="5630" width="24.85546875" style="1" customWidth="1"/>
    <col min="5631" max="5631" width="18.28515625" style="1" customWidth="1"/>
    <col min="5632" max="5632" width="12.28515625" style="1" customWidth="1"/>
    <col min="5633" max="5633" width="0" style="1" hidden="1" customWidth="1"/>
    <col min="5634" max="5634" width="9.5703125" style="1" customWidth="1"/>
    <col min="5635" max="5636" width="10.5703125" style="1" customWidth="1"/>
    <col min="5637" max="5637" width="9.85546875" style="1" customWidth="1"/>
    <col min="5638" max="5639" width="10.5703125" style="1" customWidth="1"/>
    <col min="5640" max="5640" width="0" style="1" hidden="1" customWidth="1"/>
    <col min="5641" max="5641" width="10.7109375" style="1" customWidth="1"/>
    <col min="5642" max="5642" width="12.7109375" style="1" customWidth="1"/>
    <col min="5643" max="5643" width="0" style="1" hidden="1" customWidth="1"/>
    <col min="5644" max="5644" width="14.42578125" style="1" customWidth="1"/>
    <col min="5645" max="5885" width="9" style="1"/>
    <col min="5886" max="5886" width="24.85546875" style="1" customWidth="1"/>
    <col min="5887" max="5887" width="18.28515625" style="1" customWidth="1"/>
    <col min="5888" max="5888" width="12.28515625" style="1" customWidth="1"/>
    <col min="5889" max="5889" width="0" style="1" hidden="1" customWidth="1"/>
    <col min="5890" max="5890" width="9.5703125" style="1" customWidth="1"/>
    <col min="5891" max="5892" width="10.5703125" style="1" customWidth="1"/>
    <col min="5893" max="5893" width="9.85546875" style="1" customWidth="1"/>
    <col min="5894" max="5895" width="10.5703125" style="1" customWidth="1"/>
    <col min="5896" max="5896" width="0" style="1" hidden="1" customWidth="1"/>
    <col min="5897" max="5897" width="10.7109375" style="1" customWidth="1"/>
    <col min="5898" max="5898" width="12.7109375" style="1" customWidth="1"/>
    <col min="5899" max="5899" width="0" style="1" hidden="1" customWidth="1"/>
    <col min="5900" max="5900" width="14.42578125" style="1" customWidth="1"/>
    <col min="5901" max="6141" width="9" style="1"/>
    <col min="6142" max="6142" width="24.85546875" style="1" customWidth="1"/>
    <col min="6143" max="6143" width="18.28515625" style="1" customWidth="1"/>
    <col min="6144" max="6144" width="12.28515625" style="1" customWidth="1"/>
    <col min="6145" max="6145" width="0" style="1" hidden="1" customWidth="1"/>
    <col min="6146" max="6146" width="9.5703125" style="1" customWidth="1"/>
    <col min="6147" max="6148" width="10.5703125" style="1" customWidth="1"/>
    <col min="6149" max="6149" width="9.85546875" style="1" customWidth="1"/>
    <col min="6150" max="6151" width="10.5703125" style="1" customWidth="1"/>
    <col min="6152" max="6152" width="0" style="1" hidden="1" customWidth="1"/>
    <col min="6153" max="6153" width="10.7109375" style="1" customWidth="1"/>
    <col min="6154" max="6154" width="12.7109375" style="1" customWidth="1"/>
    <col min="6155" max="6155" width="0" style="1" hidden="1" customWidth="1"/>
    <col min="6156" max="6156" width="14.42578125" style="1" customWidth="1"/>
    <col min="6157" max="6397" width="9" style="1"/>
    <col min="6398" max="6398" width="24.85546875" style="1" customWidth="1"/>
    <col min="6399" max="6399" width="18.28515625" style="1" customWidth="1"/>
    <col min="6400" max="6400" width="12.28515625" style="1" customWidth="1"/>
    <col min="6401" max="6401" width="0" style="1" hidden="1" customWidth="1"/>
    <col min="6402" max="6402" width="9.5703125" style="1" customWidth="1"/>
    <col min="6403" max="6404" width="10.5703125" style="1" customWidth="1"/>
    <col min="6405" max="6405" width="9.85546875" style="1" customWidth="1"/>
    <col min="6406" max="6407" width="10.5703125" style="1" customWidth="1"/>
    <col min="6408" max="6408" width="0" style="1" hidden="1" customWidth="1"/>
    <col min="6409" max="6409" width="10.7109375" style="1" customWidth="1"/>
    <col min="6410" max="6410" width="12.7109375" style="1" customWidth="1"/>
    <col min="6411" max="6411" width="0" style="1" hidden="1" customWidth="1"/>
    <col min="6412" max="6412" width="14.42578125" style="1" customWidth="1"/>
    <col min="6413" max="6653" width="9" style="1"/>
    <col min="6654" max="6654" width="24.85546875" style="1" customWidth="1"/>
    <col min="6655" max="6655" width="18.28515625" style="1" customWidth="1"/>
    <col min="6656" max="6656" width="12.28515625" style="1" customWidth="1"/>
    <col min="6657" max="6657" width="0" style="1" hidden="1" customWidth="1"/>
    <col min="6658" max="6658" width="9.5703125" style="1" customWidth="1"/>
    <col min="6659" max="6660" width="10.5703125" style="1" customWidth="1"/>
    <col min="6661" max="6661" width="9.85546875" style="1" customWidth="1"/>
    <col min="6662" max="6663" width="10.5703125" style="1" customWidth="1"/>
    <col min="6664" max="6664" width="0" style="1" hidden="1" customWidth="1"/>
    <col min="6665" max="6665" width="10.7109375" style="1" customWidth="1"/>
    <col min="6666" max="6666" width="12.7109375" style="1" customWidth="1"/>
    <col min="6667" max="6667" width="0" style="1" hidden="1" customWidth="1"/>
    <col min="6668" max="6668" width="14.42578125" style="1" customWidth="1"/>
    <col min="6669" max="6909" width="9" style="1"/>
    <col min="6910" max="6910" width="24.85546875" style="1" customWidth="1"/>
    <col min="6911" max="6911" width="18.28515625" style="1" customWidth="1"/>
    <col min="6912" max="6912" width="12.28515625" style="1" customWidth="1"/>
    <col min="6913" max="6913" width="0" style="1" hidden="1" customWidth="1"/>
    <col min="6914" max="6914" width="9.5703125" style="1" customWidth="1"/>
    <col min="6915" max="6916" width="10.5703125" style="1" customWidth="1"/>
    <col min="6917" max="6917" width="9.85546875" style="1" customWidth="1"/>
    <col min="6918" max="6919" width="10.5703125" style="1" customWidth="1"/>
    <col min="6920" max="6920" width="0" style="1" hidden="1" customWidth="1"/>
    <col min="6921" max="6921" width="10.7109375" style="1" customWidth="1"/>
    <col min="6922" max="6922" width="12.7109375" style="1" customWidth="1"/>
    <col min="6923" max="6923" width="0" style="1" hidden="1" customWidth="1"/>
    <col min="6924" max="6924" width="14.42578125" style="1" customWidth="1"/>
    <col min="6925" max="7165" width="9" style="1"/>
    <col min="7166" max="7166" width="24.85546875" style="1" customWidth="1"/>
    <col min="7167" max="7167" width="18.28515625" style="1" customWidth="1"/>
    <col min="7168" max="7168" width="12.28515625" style="1" customWidth="1"/>
    <col min="7169" max="7169" width="0" style="1" hidden="1" customWidth="1"/>
    <col min="7170" max="7170" width="9.5703125" style="1" customWidth="1"/>
    <col min="7171" max="7172" width="10.5703125" style="1" customWidth="1"/>
    <col min="7173" max="7173" width="9.85546875" style="1" customWidth="1"/>
    <col min="7174" max="7175" width="10.5703125" style="1" customWidth="1"/>
    <col min="7176" max="7176" width="0" style="1" hidden="1" customWidth="1"/>
    <col min="7177" max="7177" width="10.7109375" style="1" customWidth="1"/>
    <col min="7178" max="7178" width="12.7109375" style="1" customWidth="1"/>
    <col min="7179" max="7179" width="0" style="1" hidden="1" customWidth="1"/>
    <col min="7180" max="7180" width="14.42578125" style="1" customWidth="1"/>
    <col min="7181" max="7421" width="9" style="1"/>
    <col min="7422" max="7422" width="24.85546875" style="1" customWidth="1"/>
    <col min="7423" max="7423" width="18.28515625" style="1" customWidth="1"/>
    <col min="7424" max="7424" width="12.28515625" style="1" customWidth="1"/>
    <col min="7425" max="7425" width="0" style="1" hidden="1" customWidth="1"/>
    <col min="7426" max="7426" width="9.5703125" style="1" customWidth="1"/>
    <col min="7427" max="7428" width="10.5703125" style="1" customWidth="1"/>
    <col min="7429" max="7429" width="9.85546875" style="1" customWidth="1"/>
    <col min="7430" max="7431" width="10.5703125" style="1" customWidth="1"/>
    <col min="7432" max="7432" width="0" style="1" hidden="1" customWidth="1"/>
    <col min="7433" max="7433" width="10.7109375" style="1" customWidth="1"/>
    <col min="7434" max="7434" width="12.7109375" style="1" customWidth="1"/>
    <col min="7435" max="7435" width="0" style="1" hidden="1" customWidth="1"/>
    <col min="7436" max="7436" width="14.42578125" style="1" customWidth="1"/>
    <col min="7437" max="7677" width="9" style="1"/>
    <col min="7678" max="7678" width="24.85546875" style="1" customWidth="1"/>
    <col min="7679" max="7679" width="18.28515625" style="1" customWidth="1"/>
    <col min="7680" max="7680" width="12.28515625" style="1" customWidth="1"/>
    <col min="7681" max="7681" width="0" style="1" hidden="1" customWidth="1"/>
    <col min="7682" max="7682" width="9.5703125" style="1" customWidth="1"/>
    <col min="7683" max="7684" width="10.5703125" style="1" customWidth="1"/>
    <col min="7685" max="7685" width="9.85546875" style="1" customWidth="1"/>
    <col min="7686" max="7687" width="10.5703125" style="1" customWidth="1"/>
    <col min="7688" max="7688" width="0" style="1" hidden="1" customWidth="1"/>
    <col min="7689" max="7689" width="10.7109375" style="1" customWidth="1"/>
    <col min="7690" max="7690" width="12.7109375" style="1" customWidth="1"/>
    <col min="7691" max="7691" width="0" style="1" hidden="1" customWidth="1"/>
    <col min="7692" max="7692" width="14.42578125" style="1" customWidth="1"/>
    <col min="7693" max="7933" width="9" style="1"/>
    <col min="7934" max="7934" width="24.85546875" style="1" customWidth="1"/>
    <col min="7935" max="7935" width="18.28515625" style="1" customWidth="1"/>
    <col min="7936" max="7936" width="12.28515625" style="1" customWidth="1"/>
    <col min="7937" max="7937" width="0" style="1" hidden="1" customWidth="1"/>
    <col min="7938" max="7938" width="9.5703125" style="1" customWidth="1"/>
    <col min="7939" max="7940" width="10.5703125" style="1" customWidth="1"/>
    <col min="7941" max="7941" width="9.85546875" style="1" customWidth="1"/>
    <col min="7942" max="7943" width="10.5703125" style="1" customWidth="1"/>
    <col min="7944" max="7944" width="0" style="1" hidden="1" customWidth="1"/>
    <col min="7945" max="7945" width="10.7109375" style="1" customWidth="1"/>
    <col min="7946" max="7946" width="12.7109375" style="1" customWidth="1"/>
    <col min="7947" max="7947" width="0" style="1" hidden="1" customWidth="1"/>
    <col min="7948" max="7948" width="14.42578125" style="1" customWidth="1"/>
    <col min="7949" max="8189" width="9" style="1"/>
    <col min="8190" max="8190" width="24.85546875" style="1" customWidth="1"/>
    <col min="8191" max="8191" width="18.28515625" style="1" customWidth="1"/>
    <col min="8192" max="8192" width="12.28515625" style="1" customWidth="1"/>
    <col min="8193" max="8193" width="0" style="1" hidden="1" customWidth="1"/>
    <col min="8194" max="8194" width="9.5703125" style="1" customWidth="1"/>
    <col min="8195" max="8196" width="10.5703125" style="1" customWidth="1"/>
    <col min="8197" max="8197" width="9.85546875" style="1" customWidth="1"/>
    <col min="8198" max="8199" width="10.5703125" style="1" customWidth="1"/>
    <col min="8200" max="8200" width="0" style="1" hidden="1" customWidth="1"/>
    <col min="8201" max="8201" width="10.7109375" style="1" customWidth="1"/>
    <col min="8202" max="8202" width="12.7109375" style="1" customWidth="1"/>
    <col min="8203" max="8203" width="0" style="1" hidden="1" customWidth="1"/>
    <col min="8204" max="8204" width="14.42578125" style="1" customWidth="1"/>
    <col min="8205" max="8445" width="9" style="1"/>
    <col min="8446" max="8446" width="24.85546875" style="1" customWidth="1"/>
    <col min="8447" max="8447" width="18.28515625" style="1" customWidth="1"/>
    <col min="8448" max="8448" width="12.28515625" style="1" customWidth="1"/>
    <col min="8449" max="8449" width="0" style="1" hidden="1" customWidth="1"/>
    <col min="8450" max="8450" width="9.5703125" style="1" customWidth="1"/>
    <col min="8451" max="8452" width="10.5703125" style="1" customWidth="1"/>
    <col min="8453" max="8453" width="9.85546875" style="1" customWidth="1"/>
    <col min="8454" max="8455" width="10.5703125" style="1" customWidth="1"/>
    <col min="8456" max="8456" width="0" style="1" hidden="1" customWidth="1"/>
    <col min="8457" max="8457" width="10.7109375" style="1" customWidth="1"/>
    <col min="8458" max="8458" width="12.7109375" style="1" customWidth="1"/>
    <col min="8459" max="8459" width="0" style="1" hidden="1" customWidth="1"/>
    <col min="8460" max="8460" width="14.42578125" style="1" customWidth="1"/>
    <col min="8461" max="8701" width="9" style="1"/>
    <col min="8702" max="8702" width="24.85546875" style="1" customWidth="1"/>
    <col min="8703" max="8703" width="18.28515625" style="1" customWidth="1"/>
    <col min="8704" max="8704" width="12.28515625" style="1" customWidth="1"/>
    <col min="8705" max="8705" width="0" style="1" hidden="1" customWidth="1"/>
    <col min="8706" max="8706" width="9.5703125" style="1" customWidth="1"/>
    <col min="8707" max="8708" width="10.5703125" style="1" customWidth="1"/>
    <col min="8709" max="8709" width="9.85546875" style="1" customWidth="1"/>
    <col min="8710" max="8711" width="10.5703125" style="1" customWidth="1"/>
    <col min="8712" max="8712" width="0" style="1" hidden="1" customWidth="1"/>
    <col min="8713" max="8713" width="10.7109375" style="1" customWidth="1"/>
    <col min="8714" max="8714" width="12.7109375" style="1" customWidth="1"/>
    <col min="8715" max="8715" width="0" style="1" hidden="1" customWidth="1"/>
    <col min="8716" max="8716" width="14.42578125" style="1" customWidth="1"/>
    <col min="8717" max="8957" width="9" style="1"/>
    <col min="8958" max="8958" width="24.85546875" style="1" customWidth="1"/>
    <col min="8959" max="8959" width="18.28515625" style="1" customWidth="1"/>
    <col min="8960" max="8960" width="12.28515625" style="1" customWidth="1"/>
    <col min="8961" max="8961" width="0" style="1" hidden="1" customWidth="1"/>
    <col min="8962" max="8962" width="9.5703125" style="1" customWidth="1"/>
    <col min="8963" max="8964" width="10.5703125" style="1" customWidth="1"/>
    <col min="8965" max="8965" width="9.85546875" style="1" customWidth="1"/>
    <col min="8966" max="8967" width="10.5703125" style="1" customWidth="1"/>
    <col min="8968" max="8968" width="0" style="1" hidden="1" customWidth="1"/>
    <col min="8969" max="8969" width="10.7109375" style="1" customWidth="1"/>
    <col min="8970" max="8970" width="12.7109375" style="1" customWidth="1"/>
    <col min="8971" max="8971" width="0" style="1" hidden="1" customWidth="1"/>
    <col min="8972" max="8972" width="14.42578125" style="1" customWidth="1"/>
    <col min="8973" max="9213" width="9" style="1"/>
    <col min="9214" max="9214" width="24.85546875" style="1" customWidth="1"/>
    <col min="9215" max="9215" width="18.28515625" style="1" customWidth="1"/>
    <col min="9216" max="9216" width="12.28515625" style="1" customWidth="1"/>
    <col min="9217" max="9217" width="0" style="1" hidden="1" customWidth="1"/>
    <col min="9218" max="9218" width="9.5703125" style="1" customWidth="1"/>
    <col min="9219" max="9220" width="10.5703125" style="1" customWidth="1"/>
    <col min="9221" max="9221" width="9.85546875" style="1" customWidth="1"/>
    <col min="9222" max="9223" width="10.5703125" style="1" customWidth="1"/>
    <col min="9224" max="9224" width="0" style="1" hidden="1" customWidth="1"/>
    <col min="9225" max="9225" width="10.7109375" style="1" customWidth="1"/>
    <col min="9226" max="9226" width="12.7109375" style="1" customWidth="1"/>
    <col min="9227" max="9227" width="0" style="1" hidden="1" customWidth="1"/>
    <col min="9228" max="9228" width="14.42578125" style="1" customWidth="1"/>
    <col min="9229" max="9469" width="9" style="1"/>
    <col min="9470" max="9470" width="24.85546875" style="1" customWidth="1"/>
    <col min="9471" max="9471" width="18.28515625" style="1" customWidth="1"/>
    <col min="9472" max="9472" width="12.28515625" style="1" customWidth="1"/>
    <col min="9473" max="9473" width="0" style="1" hidden="1" customWidth="1"/>
    <col min="9474" max="9474" width="9.5703125" style="1" customWidth="1"/>
    <col min="9475" max="9476" width="10.5703125" style="1" customWidth="1"/>
    <col min="9477" max="9477" width="9.85546875" style="1" customWidth="1"/>
    <col min="9478" max="9479" width="10.5703125" style="1" customWidth="1"/>
    <col min="9480" max="9480" width="0" style="1" hidden="1" customWidth="1"/>
    <col min="9481" max="9481" width="10.7109375" style="1" customWidth="1"/>
    <col min="9482" max="9482" width="12.7109375" style="1" customWidth="1"/>
    <col min="9483" max="9483" width="0" style="1" hidden="1" customWidth="1"/>
    <col min="9484" max="9484" width="14.42578125" style="1" customWidth="1"/>
    <col min="9485" max="9725" width="9" style="1"/>
    <col min="9726" max="9726" width="24.85546875" style="1" customWidth="1"/>
    <col min="9727" max="9727" width="18.28515625" style="1" customWidth="1"/>
    <col min="9728" max="9728" width="12.28515625" style="1" customWidth="1"/>
    <col min="9729" max="9729" width="0" style="1" hidden="1" customWidth="1"/>
    <col min="9730" max="9730" width="9.5703125" style="1" customWidth="1"/>
    <col min="9731" max="9732" width="10.5703125" style="1" customWidth="1"/>
    <col min="9733" max="9733" width="9.85546875" style="1" customWidth="1"/>
    <col min="9734" max="9735" width="10.5703125" style="1" customWidth="1"/>
    <col min="9736" max="9736" width="0" style="1" hidden="1" customWidth="1"/>
    <col min="9737" max="9737" width="10.7109375" style="1" customWidth="1"/>
    <col min="9738" max="9738" width="12.7109375" style="1" customWidth="1"/>
    <col min="9739" max="9739" width="0" style="1" hidden="1" customWidth="1"/>
    <col min="9740" max="9740" width="14.42578125" style="1" customWidth="1"/>
    <col min="9741" max="9981" width="9" style="1"/>
    <col min="9982" max="9982" width="24.85546875" style="1" customWidth="1"/>
    <col min="9983" max="9983" width="18.28515625" style="1" customWidth="1"/>
    <col min="9984" max="9984" width="12.28515625" style="1" customWidth="1"/>
    <col min="9985" max="9985" width="0" style="1" hidden="1" customWidth="1"/>
    <col min="9986" max="9986" width="9.5703125" style="1" customWidth="1"/>
    <col min="9987" max="9988" width="10.5703125" style="1" customWidth="1"/>
    <col min="9989" max="9989" width="9.85546875" style="1" customWidth="1"/>
    <col min="9990" max="9991" width="10.5703125" style="1" customWidth="1"/>
    <col min="9992" max="9992" width="0" style="1" hidden="1" customWidth="1"/>
    <col min="9993" max="9993" width="10.7109375" style="1" customWidth="1"/>
    <col min="9994" max="9994" width="12.7109375" style="1" customWidth="1"/>
    <col min="9995" max="9995" width="0" style="1" hidden="1" customWidth="1"/>
    <col min="9996" max="9996" width="14.42578125" style="1" customWidth="1"/>
    <col min="9997" max="10237" width="9" style="1"/>
    <col min="10238" max="10238" width="24.85546875" style="1" customWidth="1"/>
    <col min="10239" max="10239" width="18.28515625" style="1" customWidth="1"/>
    <col min="10240" max="10240" width="12.28515625" style="1" customWidth="1"/>
    <col min="10241" max="10241" width="0" style="1" hidden="1" customWidth="1"/>
    <col min="10242" max="10242" width="9.5703125" style="1" customWidth="1"/>
    <col min="10243" max="10244" width="10.5703125" style="1" customWidth="1"/>
    <col min="10245" max="10245" width="9.85546875" style="1" customWidth="1"/>
    <col min="10246" max="10247" width="10.5703125" style="1" customWidth="1"/>
    <col min="10248" max="10248" width="0" style="1" hidden="1" customWidth="1"/>
    <col min="10249" max="10249" width="10.7109375" style="1" customWidth="1"/>
    <col min="10250" max="10250" width="12.7109375" style="1" customWidth="1"/>
    <col min="10251" max="10251" width="0" style="1" hidden="1" customWidth="1"/>
    <col min="10252" max="10252" width="14.42578125" style="1" customWidth="1"/>
    <col min="10253" max="10493" width="9" style="1"/>
    <col min="10494" max="10494" width="24.85546875" style="1" customWidth="1"/>
    <col min="10495" max="10495" width="18.28515625" style="1" customWidth="1"/>
    <col min="10496" max="10496" width="12.28515625" style="1" customWidth="1"/>
    <col min="10497" max="10497" width="0" style="1" hidden="1" customWidth="1"/>
    <col min="10498" max="10498" width="9.5703125" style="1" customWidth="1"/>
    <col min="10499" max="10500" width="10.5703125" style="1" customWidth="1"/>
    <col min="10501" max="10501" width="9.85546875" style="1" customWidth="1"/>
    <col min="10502" max="10503" width="10.5703125" style="1" customWidth="1"/>
    <col min="10504" max="10504" width="0" style="1" hidden="1" customWidth="1"/>
    <col min="10505" max="10505" width="10.7109375" style="1" customWidth="1"/>
    <col min="10506" max="10506" width="12.7109375" style="1" customWidth="1"/>
    <col min="10507" max="10507" width="0" style="1" hidden="1" customWidth="1"/>
    <col min="10508" max="10508" width="14.42578125" style="1" customWidth="1"/>
    <col min="10509" max="10749" width="9" style="1"/>
    <col min="10750" max="10750" width="24.85546875" style="1" customWidth="1"/>
    <col min="10751" max="10751" width="18.28515625" style="1" customWidth="1"/>
    <col min="10752" max="10752" width="12.28515625" style="1" customWidth="1"/>
    <col min="10753" max="10753" width="0" style="1" hidden="1" customWidth="1"/>
    <col min="10754" max="10754" width="9.5703125" style="1" customWidth="1"/>
    <col min="10755" max="10756" width="10.5703125" style="1" customWidth="1"/>
    <col min="10757" max="10757" width="9.85546875" style="1" customWidth="1"/>
    <col min="10758" max="10759" width="10.5703125" style="1" customWidth="1"/>
    <col min="10760" max="10760" width="0" style="1" hidden="1" customWidth="1"/>
    <col min="10761" max="10761" width="10.7109375" style="1" customWidth="1"/>
    <col min="10762" max="10762" width="12.7109375" style="1" customWidth="1"/>
    <col min="10763" max="10763" width="0" style="1" hidden="1" customWidth="1"/>
    <col min="10764" max="10764" width="14.42578125" style="1" customWidth="1"/>
    <col min="10765" max="11005" width="9" style="1"/>
    <col min="11006" max="11006" width="24.85546875" style="1" customWidth="1"/>
    <col min="11007" max="11007" width="18.28515625" style="1" customWidth="1"/>
    <col min="11008" max="11008" width="12.28515625" style="1" customWidth="1"/>
    <col min="11009" max="11009" width="0" style="1" hidden="1" customWidth="1"/>
    <col min="11010" max="11010" width="9.5703125" style="1" customWidth="1"/>
    <col min="11011" max="11012" width="10.5703125" style="1" customWidth="1"/>
    <col min="11013" max="11013" width="9.85546875" style="1" customWidth="1"/>
    <col min="11014" max="11015" width="10.5703125" style="1" customWidth="1"/>
    <col min="11016" max="11016" width="0" style="1" hidden="1" customWidth="1"/>
    <col min="11017" max="11017" width="10.7109375" style="1" customWidth="1"/>
    <col min="11018" max="11018" width="12.7109375" style="1" customWidth="1"/>
    <col min="11019" max="11019" width="0" style="1" hidden="1" customWidth="1"/>
    <col min="11020" max="11020" width="14.42578125" style="1" customWidth="1"/>
    <col min="11021" max="11261" width="9" style="1"/>
    <col min="11262" max="11262" width="24.85546875" style="1" customWidth="1"/>
    <col min="11263" max="11263" width="18.28515625" style="1" customWidth="1"/>
    <col min="11264" max="11264" width="12.28515625" style="1" customWidth="1"/>
    <col min="11265" max="11265" width="0" style="1" hidden="1" customWidth="1"/>
    <col min="11266" max="11266" width="9.5703125" style="1" customWidth="1"/>
    <col min="11267" max="11268" width="10.5703125" style="1" customWidth="1"/>
    <col min="11269" max="11269" width="9.85546875" style="1" customWidth="1"/>
    <col min="11270" max="11271" width="10.5703125" style="1" customWidth="1"/>
    <col min="11272" max="11272" width="0" style="1" hidden="1" customWidth="1"/>
    <col min="11273" max="11273" width="10.7109375" style="1" customWidth="1"/>
    <col min="11274" max="11274" width="12.7109375" style="1" customWidth="1"/>
    <col min="11275" max="11275" width="0" style="1" hidden="1" customWidth="1"/>
    <col min="11276" max="11276" width="14.42578125" style="1" customWidth="1"/>
    <col min="11277" max="11517" width="9" style="1"/>
    <col min="11518" max="11518" width="24.85546875" style="1" customWidth="1"/>
    <col min="11519" max="11519" width="18.28515625" style="1" customWidth="1"/>
    <col min="11520" max="11520" width="12.28515625" style="1" customWidth="1"/>
    <col min="11521" max="11521" width="0" style="1" hidden="1" customWidth="1"/>
    <col min="11522" max="11522" width="9.5703125" style="1" customWidth="1"/>
    <col min="11523" max="11524" width="10.5703125" style="1" customWidth="1"/>
    <col min="11525" max="11525" width="9.85546875" style="1" customWidth="1"/>
    <col min="11526" max="11527" width="10.5703125" style="1" customWidth="1"/>
    <col min="11528" max="11528" width="0" style="1" hidden="1" customWidth="1"/>
    <col min="11529" max="11529" width="10.7109375" style="1" customWidth="1"/>
    <col min="11530" max="11530" width="12.7109375" style="1" customWidth="1"/>
    <col min="11531" max="11531" width="0" style="1" hidden="1" customWidth="1"/>
    <col min="11532" max="11532" width="14.42578125" style="1" customWidth="1"/>
    <col min="11533" max="11773" width="9" style="1"/>
    <col min="11774" max="11774" width="24.85546875" style="1" customWidth="1"/>
    <col min="11775" max="11775" width="18.28515625" style="1" customWidth="1"/>
    <col min="11776" max="11776" width="12.28515625" style="1" customWidth="1"/>
    <col min="11777" max="11777" width="0" style="1" hidden="1" customWidth="1"/>
    <col min="11778" max="11778" width="9.5703125" style="1" customWidth="1"/>
    <col min="11779" max="11780" width="10.5703125" style="1" customWidth="1"/>
    <col min="11781" max="11781" width="9.85546875" style="1" customWidth="1"/>
    <col min="11782" max="11783" width="10.5703125" style="1" customWidth="1"/>
    <col min="11784" max="11784" width="0" style="1" hidden="1" customWidth="1"/>
    <col min="11785" max="11785" width="10.7109375" style="1" customWidth="1"/>
    <col min="11786" max="11786" width="12.7109375" style="1" customWidth="1"/>
    <col min="11787" max="11787" width="0" style="1" hidden="1" customWidth="1"/>
    <col min="11788" max="11788" width="14.42578125" style="1" customWidth="1"/>
    <col min="11789" max="12029" width="9" style="1"/>
    <col min="12030" max="12030" width="24.85546875" style="1" customWidth="1"/>
    <col min="12031" max="12031" width="18.28515625" style="1" customWidth="1"/>
    <col min="12032" max="12032" width="12.28515625" style="1" customWidth="1"/>
    <col min="12033" max="12033" width="0" style="1" hidden="1" customWidth="1"/>
    <col min="12034" max="12034" width="9.5703125" style="1" customWidth="1"/>
    <col min="12035" max="12036" width="10.5703125" style="1" customWidth="1"/>
    <col min="12037" max="12037" width="9.85546875" style="1" customWidth="1"/>
    <col min="12038" max="12039" width="10.5703125" style="1" customWidth="1"/>
    <col min="12040" max="12040" width="0" style="1" hidden="1" customWidth="1"/>
    <col min="12041" max="12041" width="10.7109375" style="1" customWidth="1"/>
    <col min="12042" max="12042" width="12.7109375" style="1" customWidth="1"/>
    <col min="12043" max="12043" width="0" style="1" hidden="1" customWidth="1"/>
    <col min="12044" max="12044" width="14.42578125" style="1" customWidth="1"/>
    <col min="12045" max="12285" width="9" style="1"/>
    <col min="12286" max="12286" width="24.85546875" style="1" customWidth="1"/>
    <col min="12287" max="12287" width="18.28515625" style="1" customWidth="1"/>
    <col min="12288" max="12288" width="12.28515625" style="1" customWidth="1"/>
    <col min="12289" max="12289" width="0" style="1" hidden="1" customWidth="1"/>
    <col min="12290" max="12290" width="9.5703125" style="1" customWidth="1"/>
    <col min="12291" max="12292" width="10.5703125" style="1" customWidth="1"/>
    <col min="12293" max="12293" width="9.85546875" style="1" customWidth="1"/>
    <col min="12294" max="12295" width="10.5703125" style="1" customWidth="1"/>
    <col min="12296" max="12296" width="0" style="1" hidden="1" customWidth="1"/>
    <col min="12297" max="12297" width="10.7109375" style="1" customWidth="1"/>
    <col min="12298" max="12298" width="12.7109375" style="1" customWidth="1"/>
    <col min="12299" max="12299" width="0" style="1" hidden="1" customWidth="1"/>
    <col min="12300" max="12300" width="14.42578125" style="1" customWidth="1"/>
    <col min="12301" max="12541" width="9" style="1"/>
    <col min="12542" max="12542" width="24.85546875" style="1" customWidth="1"/>
    <col min="12543" max="12543" width="18.28515625" style="1" customWidth="1"/>
    <col min="12544" max="12544" width="12.28515625" style="1" customWidth="1"/>
    <col min="12545" max="12545" width="0" style="1" hidden="1" customWidth="1"/>
    <col min="12546" max="12546" width="9.5703125" style="1" customWidth="1"/>
    <col min="12547" max="12548" width="10.5703125" style="1" customWidth="1"/>
    <col min="12549" max="12549" width="9.85546875" style="1" customWidth="1"/>
    <col min="12550" max="12551" width="10.5703125" style="1" customWidth="1"/>
    <col min="12552" max="12552" width="0" style="1" hidden="1" customWidth="1"/>
    <col min="12553" max="12553" width="10.7109375" style="1" customWidth="1"/>
    <col min="12554" max="12554" width="12.7109375" style="1" customWidth="1"/>
    <col min="12555" max="12555" width="0" style="1" hidden="1" customWidth="1"/>
    <col min="12556" max="12556" width="14.42578125" style="1" customWidth="1"/>
    <col min="12557" max="12797" width="9" style="1"/>
    <col min="12798" max="12798" width="24.85546875" style="1" customWidth="1"/>
    <col min="12799" max="12799" width="18.28515625" style="1" customWidth="1"/>
    <col min="12800" max="12800" width="12.28515625" style="1" customWidth="1"/>
    <col min="12801" max="12801" width="0" style="1" hidden="1" customWidth="1"/>
    <col min="12802" max="12802" width="9.5703125" style="1" customWidth="1"/>
    <col min="12803" max="12804" width="10.5703125" style="1" customWidth="1"/>
    <col min="12805" max="12805" width="9.85546875" style="1" customWidth="1"/>
    <col min="12806" max="12807" width="10.5703125" style="1" customWidth="1"/>
    <col min="12808" max="12808" width="0" style="1" hidden="1" customWidth="1"/>
    <col min="12809" max="12809" width="10.7109375" style="1" customWidth="1"/>
    <col min="12810" max="12810" width="12.7109375" style="1" customWidth="1"/>
    <col min="12811" max="12811" width="0" style="1" hidden="1" customWidth="1"/>
    <col min="12812" max="12812" width="14.42578125" style="1" customWidth="1"/>
    <col min="12813" max="13053" width="9" style="1"/>
    <col min="13054" max="13054" width="24.85546875" style="1" customWidth="1"/>
    <col min="13055" max="13055" width="18.28515625" style="1" customWidth="1"/>
    <col min="13056" max="13056" width="12.28515625" style="1" customWidth="1"/>
    <col min="13057" max="13057" width="0" style="1" hidden="1" customWidth="1"/>
    <col min="13058" max="13058" width="9.5703125" style="1" customWidth="1"/>
    <col min="13059" max="13060" width="10.5703125" style="1" customWidth="1"/>
    <col min="13061" max="13061" width="9.85546875" style="1" customWidth="1"/>
    <col min="13062" max="13063" width="10.5703125" style="1" customWidth="1"/>
    <col min="13064" max="13064" width="0" style="1" hidden="1" customWidth="1"/>
    <col min="13065" max="13065" width="10.7109375" style="1" customWidth="1"/>
    <col min="13066" max="13066" width="12.7109375" style="1" customWidth="1"/>
    <col min="13067" max="13067" width="0" style="1" hidden="1" customWidth="1"/>
    <col min="13068" max="13068" width="14.42578125" style="1" customWidth="1"/>
    <col min="13069" max="13309" width="9" style="1"/>
    <col min="13310" max="13310" width="24.85546875" style="1" customWidth="1"/>
    <col min="13311" max="13311" width="18.28515625" style="1" customWidth="1"/>
    <col min="13312" max="13312" width="12.28515625" style="1" customWidth="1"/>
    <col min="13313" max="13313" width="0" style="1" hidden="1" customWidth="1"/>
    <col min="13314" max="13314" width="9.5703125" style="1" customWidth="1"/>
    <col min="13315" max="13316" width="10.5703125" style="1" customWidth="1"/>
    <col min="13317" max="13317" width="9.85546875" style="1" customWidth="1"/>
    <col min="13318" max="13319" width="10.5703125" style="1" customWidth="1"/>
    <col min="13320" max="13320" width="0" style="1" hidden="1" customWidth="1"/>
    <col min="13321" max="13321" width="10.7109375" style="1" customWidth="1"/>
    <col min="13322" max="13322" width="12.7109375" style="1" customWidth="1"/>
    <col min="13323" max="13323" width="0" style="1" hidden="1" customWidth="1"/>
    <col min="13324" max="13324" width="14.42578125" style="1" customWidth="1"/>
    <col min="13325" max="13565" width="9" style="1"/>
    <col min="13566" max="13566" width="24.85546875" style="1" customWidth="1"/>
    <col min="13567" max="13567" width="18.28515625" style="1" customWidth="1"/>
    <col min="13568" max="13568" width="12.28515625" style="1" customWidth="1"/>
    <col min="13569" max="13569" width="0" style="1" hidden="1" customWidth="1"/>
    <col min="13570" max="13570" width="9.5703125" style="1" customWidth="1"/>
    <col min="13571" max="13572" width="10.5703125" style="1" customWidth="1"/>
    <col min="13573" max="13573" width="9.85546875" style="1" customWidth="1"/>
    <col min="13574" max="13575" width="10.5703125" style="1" customWidth="1"/>
    <col min="13576" max="13576" width="0" style="1" hidden="1" customWidth="1"/>
    <col min="13577" max="13577" width="10.7109375" style="1" customWidth="1"/>
    <col min="13578" max="13578" width="12.7109375" style="1" customWidth="1"/>
    <col min="13579" max="13579" width="0" style="1" hidden="1" customWidth="1"/>
    <col min="13580" max="13580" width="14.42578125" style="1" customWidth="1"/>
    <col min="13581" max="13821" width="9" style="1"/>
    <col min="13822" max="13822" width="24.85546875" style="1" customWidth="1"/>
    <col min="13823" max="13823" width="18.28515625" style="1" customWidth="1"/>
    <col min="13824" max="13824" width="12.28515625" style="1" customWidth="1"/>
    <col min="13825" max="13825" width="0" style="1" hidden="1" customWidth="1"/>
    <col min="13826" max="13826" width="9.5703125" style="1" customWidth="1"/>
    <col min="13827" max="13828" width="10.5703125" style="1" customWidth="1"/>
    <col min="13829" max="13829" width="9.85546875" style="1" customWidth="1"/>
    <col min="13830" max="13831" width="10.5703125" style="1" customWidth="1"/>
    <col min="13832" max="13832" width="0" style="1" hidden="1" customWidth="1"/>
    <col min="13833" max="13833" width="10.7109375" style="1" customWidth="1"/>
    <col min="13834" max="13834" width="12.7109375" style="1" customWidth="1"/>
    <col min="13835" max="13835" width="0" style="1" hidden="1" customWidth="1"/>
    <col min="13836" max="13836" width="14.42578125" style="1" customWidth="1"/>
    <col min="13837" max="14077" width="9" style="1"/>
    <col min="14078" max="14078" width="24.85546875" style="1" customWidth="1"/>
    <col min="14079" max="14079" width="18.28515625" style="1" customWidth="1"/>
    <col min="14080" max="14080" width="12.28515625" style="1" customWidth="1"/>
    <col min="14081" max="14081" width="0" style="1" hidden="1" customWidth="1"/>
    <col min="14082" max="14082" width="9.5703125" style="1" customWidth="1"/>
    <col min="14083" max="14084" width="10.5703125" style="1" customWidth="1"/>
    <col min="14085" max="14085" width="9.85546875" style="1" customWidth="1"/>
    <col min="14086" max="14087" width="10.5703125" style="1" customWidth="1"/>
    <col min="14088" max="14088" width="0" style="1" hidden="1" customWidth="1"/>
    <col min="14089" max="14089" width="10.7109375" style="1" customWidth="1"/>
    <col min="14090" max="14090" width="12.7109375" style="1" customWidth="1"/>
    <col min="14091" max="14091" width="0" style="1" hidden="1" customWidth="1"/>
    <col min="14092" max="14092" width="14.42578125" style="1" customWidth="1"/>
    <col min="14093" max="14333" width="9" style="1"/>
    <col min="14334" max="14334" width="24.85546875" style="1" customWidth="1"/>
    <col min="14335" max="14335" width="18.28515625" style="1" customWidth="1"/>
    <col min="14336" max="14336" width="12.28515625" style="1" customWidth="1"/>
    <col min="14337" max="14337" width="0" style="1" hidden="1" customWidth="1"/>
    <col min="14338" max="14338" width="9.5703125" style="1" customWidth="1"/>
    <col min="14339" max="14340" width="10.5703125" style="1" customWidth="1"/>
    <col min="14341" max="14341" width="9.85546875" style="1" customWidth="1"/>
    <col min="14342" max="14343" width="10.5703125" style="1" customWidth="1"/>
    <col min="14344" max="14344" width="0" style="1" hidden="1" customWidth="1"/>
    <col min="14345" max="14345" width="10.7109375" style="1" customWidth="1"/>
    <col min="14346" max="14346" width="12.7109375" style="1" customWidth="1"/>
    <col min="14347" max="14347" width="0" style="1" hidden="1" customWidth="1"/>
    <col min="14348" max="14348" width="14.42578125" style="1" customWidth="1"/>
    <col min="14349" max="14589" width="9" style="1"/>
    <col min="14590" max="14590" width="24.85546875" style="1" customWidth="1"/>
    <col min="14591" max="14591" width="18.28515625" style="1" customWidth="1"/>
    <col min="14592" max="14592" width="12.28515625" style="1" customWidth="1"/>
    <col min="14593" max="14593" width="0" style="1" hidden="1" customWidth="1"/>
    <col min="14594" max="14594" width="9.5703125" style="1" customWidth="1"/>
    <col min="14595" max="14596" width="10.5703125" style="1" customWidth="1"/>
    <col min="14597" max="14597" width="9.85546875" style="1" customWidth="1"/>
    <col min="14598" max="14599" width="10.5703125" style="1" customWidth="1"/>
    <col min="14600" max="14600" width="0" style="1" hidden="1" customWidth="1"/>
    <col min="14601" max="14601" width="10.7109375" style="1" customWidth="1"/>
    <col min="14602" max="14602" width="12.7109375" style="1" customWidth="1"/>
    <col min="14603" max="14603" width="0" style="1" hidden="1" customWidth="1"/>
    <col min="14604" max="14604" width="14.42578125" style="1" customWidth="1"/>
    <col min="14605" max="14845" width="9" style="1"/>
    <col min="14846" max="14846" width="24.85546875" style="1" customWidth="1"/>
    <col min="14847" max="14847" width="18.28515625" style="1" customWidth="1"/>
    <col min="14848" max="14848" width="12.28515625" style="1" customWidth="1"/>
    <col min="14849" max="14849" width="0" style="1" hidden="1" customWidth="1"/>
    <col min="14850" max="14850" width="9.5703125" style="1" customWidth="1"/>
    <col min="14851" max="14852" width="10.5703125" style="1" customWidth="1"/>
    <col min="14853" max="14853" width="9.85546875" style="1" customWidth="1"/>
    <col min="14854" max="14855" width="10.5703125" style="1" customWidth="1"/>
    <col min="14856" max="14856" width="0" style="1" hidden="1" customWidth="1"/>
    <col min="14857" max="14857" width="10.7109375" style="1" customWidth="1"/>
    <col min="14858" max="14858" width="12.7109375" style="1" customWidth="1"/>
    <col min="14859" max="14859" width="0" style="1" hidden="1" customWidth="1"/>
    <col min="14860" max="14860" width="14.42578125" style="1" customWidth="1"/>
    <col min="14861" max="15101" width="9" style="1"/>
    <col min="15102" max="15102" width="24.85546875" style="1" customWidth="1"/>
    <col min="15103" max="15103" width="18.28515625" style="1" customWidth="1"/>
    <col min="15104" max="15104" width="12.28515625" style="1" customWidth="1"/>
    <col min="15105" max="15105" width="0" style="1" hidden="1" customWidth="1"/>
    <col min="15106" max="15106" width="9.5703125" style="1" customWidth="1"/>
    <col min="15107" max="15108" width="10.5703125" style="1" customWidth="1"/>
    <col min="15109" max="15109" width="9.85546875" style="1" customWidth="1"/>
    <col min="15110" max="15111" width="10.5703125" style="1" customWidth="1"/>
    <col min="15112" max="15112" width="0" style="1" hidden="1" customWidth="1"/>
    <col min="15113" max="15113" width="10.7109375" style="1" customWidth="1"/>
    <col min="15114" max="15114" width="12.7109375" style="1" customWidth="1"/>
    <col min="15115" max="15115" width="0" style="1" hidden="1" customWidth="1"/>
    <col min="15116" max="15116" width="14.42578125" style="1" customWidth="1"/>
    <col min="15117" max="15357" width="9" style="1"/>
    <col min="15358" max="15358" width="24.85546875" style="1" customWidth="1"/>
    <col min="15359" max="15359" width="18.28515625" style="1" customWidth="1"/>
    <col min="15360" max="15360" width="12.28515625" style="1" customWidth="1"/>
    <col min="15361" max="15361" width="0" style="1" hidden="1" customWidth="1"/>
    <col min="15362" max="15362" width="9.5703125" style="1" customWidth="1"/>
    <col min="15363" max="15364" width="10.5703125" style="1" customWidth="1"/>
    <col min="15365" max="15365" width="9.85546875" style="1" customWidth="1"/>
    <col min="15366" max="15367" width="10.5703125" style="1" customWidth="1"/>
    <col min="15368" max="15368" width="0" style="1" hidden="1" customWidth="1"/>
    <col min="15369" max="15369" width="10.7109375" style="1" customWidth="1"/>
    <col min="15370" max="15370" width="12.7109375" style="1" customWidth="1"/>
    <col min="15371" max="15371" width="0" style="1" hidden="1" customWidth="1"/>
    <col min="15372" max="15372" width="14.42578125" style="1" customWidth="1"/>
    <col min="15373" max="15613" width="9" style="1"/>
    <col min="15614" max="15614" width="24.85546875" style="1" customWidth="1"/>
    <col min="15615" max="15615" width="18.28515625" style="1" customWidth="1"/>
    <col min="15616" max="15616" width="12.28515625" style="1" customWidth="1"/>
    <col min="15617" max="15617" width="0" style="1" hidden="1" customWidth="1"/>
    <col min="15618" max="15618" width="9.5703125" style="1" customWidth="1"/>
    <col min="15619" max="15620" width="10.5703125" style="1" customWidth="1"/>
    <col min="15621" max="15621" width="9.85546875" style="1" customWidth="1"/>
    <col min="15622" max="15623" width="10.5703125" style="1" customWidth="1"/>
    <col min="15624" max="15624" width="0" style="1" hidden="1" customWidth="1"/>
    <col min="15625" max="15625" width="10.7109375" style="1" customWidth="1"/>
    <col min="15626" max="15626" width="12.7109375" style="1" customWidth="1"/>
    <col min="15627" max="15627" width="0" style="1" hidden="1" customWidth="1"/>
    <col min="15628" max="15628" width="14.42578125" style="1" customWidth="1"/>
    <col min="15629" max="15869" width="9" style="1"/>
    <col min="15870" max="15870" width="24.85546875" style="1" customWidth="1"/>
    <col min="15871" max="15871" width="18.28515625" style="1" customWidth="1"/>
    <col min="15872" max="15872" width="12.28515625" style="1" customWidth="1"/>
    <col min="15873" max="15873" width="0" style="1" hidden="1" customWidth="1"/>
    <col min="15874" max="15874" width="9.5703125" style="1" customWidth="1"/>
    <col min="15875" max="15876" width="10.5703125" style="1" customWidth="1"/>
    <col min="15877" max="15877" width="9.85546875" style="1" customWidth="1"/>
    <col min="15878" max="15879" width="10.5703125" style="1" customWidth="1"/>
    <col min="15880" max="15880" width="0" style="1" hidden="1" customWidth="1"/>
    <col min="15881" max="15881" width="10.7109375" style="1" customWidth="1"/>
    <col min="15882" max="15882" width="12.7109375" style="1" customWidth="1"/>
    <col min="15883" max="15883" width="0" style="1" hidden="1" customWidth="1"/>
    <col min="15884" max="15884" width="14.42578125" style="1" customWidth="1"/>
    <col min="15885" max="16125" width="9" style="1"/>
    <col min="16126" max="16126" width="24.85546875" style="1" customWidth="1"/>
    <col min="16127" max="16127" width="18.28515625" style="1" customWidth="1"/>
    <col min="16128" max="16128" width="12.28515625" style="1" customWidth="1"/>
    <col min="16129" max="16129" width="0" style="1" hidden="1" customWidth="1"/>
    <col min="16130" max="16130" width="9.5703125" style="1" customWidth="1"/>
    <col min="16131" max="16132" width="10.5703125" style="1" customWidth="1"/>
    <col min="16133" max="16133" width="9.85546875" style="1" customWidth="1"/>
    <col min="16134" max="16135" width="10.5703125" style="1" customWidth="1"/>
    <col min="16136" max="16136" width="0" style="1" hidden="1" customWidth="1"/>
    <col min="16137" max="16137" width="10.7109375" style="1" customWidth="1"/>
    <col min="16138" max="16138" width="12.7109375" style="1" customWidth="1"/>
    <col min="16139" max="16139" width="0" style="1" hidden="1" customWidth="1"/>
    <col min="16140" max="16140" width="14.42578125" style="1" customWidth="1"/>
    <col min="16141" max="16384" width="9" style="1"/>
  </cols>
  <sheetData>
    <row r="1" spans="1:12" s="74" customFormat="1" ht="20.100000000000001" customHeight="1" x14ac:dyDescent="0.25">
      <c r="A1" s="200" t="s">
        <v>0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</row>
    <row r="2" spans="1:12" s="74" customFormat="1" ht="20.100000000000001" customHeight="1" x14ac:dyDescent="0.25">
      <c r="A2" s="200" t="s">
        <v>48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</row>
    <row r="3" spans="1:12" ht="21" customHeight="1" x14ac:dyDescent="0.2">
      <c r="A3" s="29"/>
      <c r="B3" s="65"/>
      <c r="C3" s="65"/>
      <c r="D3" s="66"/>
      <c r="E3" s="65"/>
      <c r="F3" s="65"/>
      <c r="G3" s="66"/>
      <c r="H3" s="65"/>
      <c r="I3" s="65"/>
      <c r="J3" s="66"/>
      <c r="K3" s="65"/>
      <c r="L3" s="30" t="s">
        <v>1</v>
      </c>
    </row>
    <row r="4" spans="1:12" s="2" customFormat="1" ht="30" customHeight="1" x14ac:dyDescent="0.2">
      <c r="A4" s="31"/>
      <c r="B4" s="32" t="s">
        <v>33</v>
      </c>
      <c r="C4" s="33" t="s">
        <v>34</v>
      </c>
      <c r="D4" s="33" t="s">
        <v>49</v>
      </c>
      <c r="E4" s="33" t="s">
        <v>50</v>
      </c>
      <c r="F4" s="33" t="s">
        <v>51</v>
      </c>
      <c r="G4" s="33" t="s">
        <v>52</v>
      </c>
      <c r="H4" s="33" t="s">
        <v>10</v>
      </c>
      <c r="I4" s="33" t="s">
        <v>53</v>
      </c>
      <c r="J4" s="33" t="s">
        <v>54</v>
      </c>
      <c r="K4" s="33" t="s">
        <v>55</v>
      </c>
      <c r="L4" s="34" t="s">
        <v>15</v>
      </c>
    </row>
    <row r="5" spans="1:12" ht="21" customHeight="1" x14ac:dyDescent="0.2">
      <c r="A5" s="67" t="s">
        <v>16</v>
      </c>
      <c r="B5" s="35"/>
      <c r="C5" s="35"/>
      <c r="D5" s="35"/>
      <c r="E5" s="36"/>
      <c r="F5" s="36"/>
      <c r="G5" s="37"/>
      <c r="H5" s="38"/>
      <c r="I5" s="38"/>
      <c r="J5" s="38"/>
      <c r="K5" s="38"/>
      <c r="L5" s="39"/>
    </row>
    <row r="6" spans="1:12" ht="17.25" customHeight="1" x14ac:dyDescent="0.2">
      <c r="A6" s="68" t="s">
        <v>17</v>
      </c>
      <c r="B6" s="40">
        <v>3001981.6970000002</v>
      </c>
      <c r="C6" s="41">
        <v>7238721.2719999999</v>
      </c>
      <c r="D6" s="42">
        <v>5017.4920000000002</v>
      </c>
      <c r="E6" s="40">
        <v>163624.698</v>
      </c>
      <c r="F6" s="40">
        <v>675647.98300000001</v>
      </c>
      <c r="G6" s="42">
        <v>5087.3280000000004</v>
      </c>
      <c r="H6" s="42">
        <v>338459.68699999998</v>
      </c>
      <c r="I6" s="42">
        <v>166526.06700000001</v>
      </c>
      <c r="J6" s="40">
        <v>14370.204</v>
      </c>
      <c r="K6" s="42">
        <v>3417714.8220000002</v>
      </c>
      <c r="L6" s="43">
        <f>SUM(B6:K6)</f>
        <v>15027151.250000002</v>
      </c>
    </row>
    <row r="7" spans="1:12" ht="17.25" customHeight="1" x14ac:dyDescent="0.2">
      <c r="A7" s="68" t="s">
        <v>18</v>
      </c>
      <c r="B7" s="40">
        <v>254384.321</v>
      </c>
      <c r="C7" s="41">
        <v>51020.485999999997</v>
      </c>
      <c r="D7" s="42">
        <v>224.69800000000001</v>
      </c>
      <c r="E7" s="40">
        <v>4227.5600000000004</v>
      </c>
      <c r="F7" s="40">
        <v>23903.465</v>
      </c>
      <c r="G7" s="42">
        <v>641.17499999999995</v>
      </c>
      <c r="H7" s="42">
        <v>0</v>
      </c>
      <c r="I7" s="42">
        <v>41220.222000000002</v>
      </c>
      <c r="J7" s="40">
        <v>882.53599999999994</v>
      </c>
      <c r="K7" s="42">
        <v>153744.77799999999</v>
      </c>
      <c r="L7" s="43">
        <f>SUM(B7:K7)</f>
        <v>530249.24099999992</v>
      </c>
    </row>
    <row r="8" spans="1:12" ht="17.25" customHeight="1" x14ac:dyDescent="0.2">
      <c r="A8" s="68" t="s">
        <v>19</v>
      </c>
      <c r="B8" s="44">
        <v>2747597.3760000002</v>
      </c>
      <c r="C8" s="44">
        <v>7187700.7860000003</v>
      </c>
      <c r="D8" s="44">
        <v>4792.7939999999999</v>
      </c>
      <c r="E8" s="44">
        <v>159397.13800000001</v>
      </c>
      <c r="F8" s="44">
        <v>651744.51800000004</v>
      </c>
      <c r="G8" s="44">
        <v>4446.1530000000002</v>
      </c>
      <c r="H8" s="44">
        <v>338459.68699999998</v>
      </c>
      <c r="I8" s="44">
        <v>125305.845</v>
      </c>
      <c r="J8" s="44">
        <v>13487.668</v>
      </c>
      <c r="K8" s="44">
        <v>3263970.0440000002</v>
      </c>
      <c r="L8" s="43">
        <f>SUM(B8:K8)</f>
        <v>14496902.009000001</v>
      </c>
    </row>
    <row r="9" spans="1:12" ht="25.5" customHeight="1" x14ac:dyDescent="0.2">
      <c r="A9" s="68" t="s">
        <v>20</v>
      </c>
      <c r="B9" s="40">
        <v>3874463.6919999998</v>
      </c>
      <c r="C9" s="41">
        <v>2433056.4040000001</v>
      </c>
      <c r="D9" s="42">
        <v>4613.9719999999998</v>
      </c>
      <c r="E9" s="40">
        <v>130386.03</v>
      </c>
      <c r="F9" s="40">
        <v>743781.02399999998</v>
      </c>
      <c r="G9" s="42">
        <v>3788.5360000000001</v>
      </c>
      <c r="H9" s="42">
        <v>244564.44099999999</v>
      </c>
      <c r="I9" s="42">
        <v>30462.058000000001</v>
      </c>
      <c r="J9" s="40">
        <v>1736.204</v>
      </c>
      <c r="K9" s="42">
        <v>1444779.5689999999</v>
      </c>
      <c r="L9" s="43">
        <f>SUM(B9:K9)</f>
        <v>8911631.9299999997</v>
      </c>
    </row>
    <row r="10" spans="1:12" ht="25.5" customHeight="1" x14ac:dyDescent="0.2">
      <c r="A10" s="68" t="s">
        <v>21</v>
      </c>
      <c r="B10" s="40">
        <v>-18446.915000000001</v>
      </c>
      <c r="C10" s="41">
        <v>4741.982</v>
      </c>
      <c r="D10" s="42">
        <v>95.944999999999993</v>
      </c>
      <c r="E10" s="40">
        <v>0</v>
      </c>
      <c r="F10" s="45">
        <v>334.697</v>
      </c>
      <c r="G10" s="42">
        <v>49.716999999999999</v>
      </c>
      <c r="H10" s="40">
        <v>0</v>
      </c>
      <c r="I10" s="42">
        <v>28115.046999999999</v>
      </c>
      <c r="J10" s="40">
        <v>0</v>
      </c>
      <c r="K10" s="42">
        <v>38264.847999999998</v>
      </c>
      <c r="L10" s="43">
        <f>SUM(B10:K10)</f>
        <v>53155.320999999996</v>
      </c>
    </row>
    <row r="11" spans="1:12" ht="21" customHeight="1" x14ac:dyDescent="0.2">
      <c r="A11" s="69" t="s">
        <v>22</v>
      </c>
      <c r="B11" s="46"/>
      <c r="C11" s="46"/>
      <c r="D11" s="46"/>
      <c r="E11" s="46"/>
      <c r="F11" s="46"/>
      <c r="G11" s="47"/>
      <c r="H11" s="46"/>
      <c r="I11" s="46"/>
      <c r="J11" s="46"/>
      <c r="K11" s="46"/>
      <c r="L11" s="48"/>
    </row>
    <row r="12" spans="1:12" ht="17.25" customHeight="1" x14ac:dyDescent="0.2">
      <c r="A12" s="68" t="s">
        <v>17</v>
      </c>
      <c r="B12" s="40">
        <v>1900158.7849999999</v>
      </c>
      <c r="C12" s="41">
        <v>5237393.6490000002</v>
      </c>
      <c r="D12" s="42">
        <v>10952.173000000001</v>
      </c>
      <c r="E12" s="40">
        <v>127867.716</v>
      </c>
      <c r="F12" s="40">
        <v>445935.65</v>
      </c>
      <c r="G12" s="42">
        <v>9168.0319999999992</v>
      </c>
      <c r="H12" s="42">
        <v>337712.99099999998</v>
      </c>
      <c r="I12" s="42">
        <v>100724.579</v>
      </c>
      <c r="J12" s="40">
        <v>16566.59</v>
      </c>
      <c r="K12" s="42">
        <v>2870066.8309999998</v>
      </c>
      <c r="L12" s="43">
        <f>SUM(B12:K12)</f>
        <v>11056546.996000001</v>
      </c>
    </row>
    <row r="13" spans="1:12" ht="17.25" customHeight="1" x14ac:dyDescent="0.2">
      <c r="A13" s="68" t="s">
        <v>23</v>
      </c>
      <c r="B13" s="40">
        <v>17964.517</v>
      </c>
      <c r="C13" s="41">
        <v>16433.337</v>
      </c>
      <c r="D13" s="42">
        <v>0</v>
      </c>
      <c r="E13" s="40">
        <v>0</v>
      </c>
      <c r="F13" s="40">
        <v>1454.3679999999999</v>
      </c>
      <c r="G13" s="42">
        <v>80.75</v>
      </c>
      <c r="H13" s="40">
        <v>0</v>
      </c>
      <c r="I13" s="42">
        <v>11208.717000000001</v>
      </c>
      <c r="J13" s="40">
        <v>319</v>
      </c>
      <c r="K13" s="42">
        <v>26554.880000000001</v>
      </c>
      <c r="L13" s="43">
        <f>SUM(B13:K13)</f>
        <v>74015.569000000003</v>
      </c>
    </row>
    <row r="14" spans="1:12" ht="17.25" customHeight="1" x14ac:dyDescent="0.2">
      <c r="A14" s="68" t="s">
        <v>19</v>
      </c>
      <c r="B14" s="44">
        <v>1882754.787</v>
      </c>
      <c r="C14" s="44">
        <v>5220960.3119999999</v>
      </c>
      <c r="D14" s="44">
        <v>10952.173000000001</v>
      </c>
      <c r="E14" s="44">
        <v>127867.716</v>
      </c>
      <c r="F14" s="44">
        <v>444481.28200000001</v>
      </c>
      <c r="G14" s="44">
        <v>9087.2819999999992</v>
      </c>
      <c r="H14" s="44">
        <v>337712.99099999998</v>
      </c>
      <c r="I14" s="44">
        <v>89515.861999999994</v>
      </c>
      <c r="J14" s="44">
        <v>16885.59</v>
      </c>
      <c r="K14" s="44">
        <v>2843511.9509999999</v>
      </c>
      <c r="L14" s="43">
        <f>SUM(B14:K14)</f>
        <v>10983729.945999999</v>
      </c>
    </row>
    <row r="15" spans="1:12" ht="21" customHeight="1" x14ac:dyDescent="0.2">
      <c r="A15" s="69" t="s">
        <v>24</v>
      </c>
      <c r="B15" s="46"/>
      <c r="C15" s="46"/>
      <c r="D15" s="46"/>
      <c r="E15" s="46"/>
      <c r="F15" s="46"/>
      <c r="G15" s="47"/>
      <c r="H15" s="46"/>
      <c r="I15" s="46"/>
      <c r="J15" s="46"/>
      <c r="K15" s="46"/>
      <c r="L15" s="48"/>
    </row>
    <row r="16" spans="1:12" ht="17.25" customHeight="1" x14ac:dyDescent="0.2">
      <c r="A16" s="68" t="s">
        <v>25</v>
      </c>
      <c r="B16" s="40">
        <v>93868.698999999993</v>
      </c>
      <c r="C16" s="41">
        <v>3646.9490000000001</v>
      </c>
      <c r="D16" s="42">
        <v>122.336</v>
      </c>
      <c r="E16" s="40">
        <v>-429.18299999999999</v>
      </c>
      <c r="F16" s="40">
        <v>14101.886</v>
      </c>
      <c r="G16" s="42">
        <v>15.926</v>
      </c>
      <c r="H16" s="40">
        <v>0</v>
      </c>
      <c r="I16" s="40">
        <v>1808.4970000000001</v>
      </c>
      <c r="J16" s="40">
        <v>0</v>
      </c>
      <c r="K16" s="42">
        <v>31385.489000000001</v>
      </c>
      <c r="L16" s="43">
        <f t="shared" ref="L16:L22" si="0">SUM(B16:K16)</f>
        <v>144520.59899999999</v>
      </c>
    </row>
    <row r="17" spans="1:12" ht="17.25" customHeight="1" x14ac:dyDescent="0.2">
      <c r="A17" s="68" t="s">
        <v>26</v>
      </c>
      <c r="B17" s="40">
        <v>117125.10799999999</v>
      </c>
      <c r="C17" s="41">
        <v>237805.26699999999</v>
      </c>
      <c r="D17" s="42">
        <v>73.350999999999999</v>
      </c>
      <c r="E17" s="40">
        <v>12206.109</v>
      </c>
      <c r="F17" s="40">
        <v>24513.948</v>
      </c>
      <c r="G17" s="42">
        <v>0</v>
      </c>
      <c r="H17" s="42">
        <v>16328.005999999999</v>
      </c>
      <c r="I17" s="42">
        <v>18143.498</v>
      </c>
      <c r="J17" s="40">
        <v>0</v>
      </c>
      <c r="K17" s="42">
        <v>91025</v>
      </c>
      <c r="L17" s="43">
        <f t="shared" si="0"/>
        <v>517220.28700000001</v>
      </c>
    </row>
    <row r="18" spans="1:12" ht="17.25" customHeight="1" x14ac:dyDescent="0.2">
      <c r="A18" s="68" t="s">
        <v>19</v>
      </c>
      <c r="B18" s="44">
        <v>-23256.409</v>
      </c>
      <c r="C18" s="44">
        <v>-234158.318</v>
      </c>
      <c r="D18" s="44">
        <v>48.984999999999999</v>
      </c>
      <c r="E18" s="44">
        <v>-12635.292000000001</v>
      </c>
      <c r="F18" s="44">
        <v>-10412.062</v>
      </c>
      <c r="G18" s="44">
        <v>15.926</v>
      </c>
      <c r="H18" s="44">
        <v>-16328.005999999999</v>
      </c>
      <c r="I18" s="44">
        <v>-16335.001</v>
      </c>
      <c r="J18" s="44">
        <v>0</v>
      </c>
      <c r="K18" s="44">
        <v>-59639.510999999999</v>
      </c>
      <c r="L18" s="43">
        <f t="shared" si="0"/>
        <v>-372699.68800000002</v>
      </c>
    </row>
    <row r="19" spans="1:12" ht="21" customHeight="1" x14ac:dyDescent="0.2">
      <c r="A19" s="70" t="s">
        <v>27</v>
      </c>
      <c r="B19" s="40">
        <v>362302.43</v>
      </c>
      <c r="C19" s="41">
        <v>517595.679</v>
      </c>
      <c r="D19" s="42">
        <v>765.86400000000003</v>
      </c>
      <c r="E19" s="40">
        <v>56179.250999999997</v>
      </c>
      <c r="F19" s="40">
        <v>110538.993</v>
      </c>
      <c r="G19" s="42">
        <v>816.072</v>
      </c>
      <c r="H19" s="42">
        <v>33400.133999999998</v>
      </c>
      <c r="I19" s="42">
        <v>43009.752999999997</v>
      </c>
      <c r="J19" s="40">
        <v>3400.2269999999999</v>
      </c>
      <c r="K19" s="42">
        <v>149860.97200000001</v>
      </c>
      <c r="L19" s="43">
        <f t="shared" si="0"/>
        <v>1277869.375</v>
      </c>
    </row>
    <row r="20" spans="1:12" ht="20.25" customHeight="1" x14ac:dyDescent="0.2">
      <c r="A20" s="70" t="s">
        <v>28</v>
      </c>
      <c r="B20" s="40">
        <v>7145.3879999999999</v>
      </c>
      <c r="C20" s="40">
        <v>34697.061999999998</v>
      </c>
      <c r="D20" s="42">
        <v>434.32100000000003</v>
      </c>
      <c r="E20" s="40">
        <v>0</v>
      </c>
      <c r="F20" s="40">
        <v>0</v>
      </c>
      <c r="G20" s="42">
        <v>448.61700000000002</v>
      </c>
      <c r="H20" s="42">
        <v>-31723.191999999999</v>
      </c>
      <c r="I20" s="42">
        <v>0</v>
      </c>
      <c r="J20" s="40">
        <v>-144.94200000000001</v>
      </c>
      <c r="K20" s="42">
        <v>29541.469000000001</v>
      </c>
      <c r="L20" s="43">
        <f t="shared" si="0"/>
        <v>40398.722999999998</v>
      </c>
    </row>
    <row r="21" spans="1:12" ht="20.25" customHeight="1" x14ac:dyDescent="0.2">
      <c r="A21" s="71" t="s">
        <v>29</v>
      </c>
      <c r="B21" s="49">
        <v>24014032.956</v>
      </c>
      <c r="C21" s="50">
        <v>19350730.395</v>
      </c>
      <c r="D21" s="51">
        <v>62741.065000000002</v>
      </c>
      <c r="E21" s="49">
        <v>959667.94700000004</v>
      </c>
      <c r="F21" s="49">
        <v>5111814.5920000002</v>
      </c>
      <c r="G21" s="51">
        <v>63211.726000000002</v>
      </c>
      <c r="H21" s="51">
        <v>2845616.0819999999</v>
      </c>
      <c r="I21" s="51">
        <v>597510.56499999994</v>
      </c>
      <c r="J21" s="49">
        <v>43440.906999999999</v>
      </c>
      <c r="K21" s="51">
        <v>26754178.938000001</v>
      </c>
      <c r="L21" s="52">
        <f t="shared" si="0"/>
        <v>79802945.172999993</v>
      </c>
    </row>
    <row r="22" spans="1:12" ht="20.25" customHeight="1" x14ac:dyDescent="0.2">
      <c r="A22" s="72" t="s">
        <v>30</v>
      </c>
      <c r="B22" s="53">
        <v>28303188.094000001</v>
      </c>
      <c r="C22" s="53">
        <v>22673642.574000001</v>
      </c>
      <c r="D22" s="54">
        <v>60133.088000000003</v>
      </c>
      <c r="E22" s="53">
        <v>1044697.336</v>
      </c>
      <c r="F22" s="53">
        <v>5841980.199</v>
      </c>
      <c r="G22" s="54">
        <v>61465.048000000003</v>
      </c>
      <c r="H22" s="54">
        <v>3004054.6230000001</v>
      </c>
      <c r="I22" s="54">
        <v>632263.30799999996</v>
      </c>
      <c r="J22" s="55">
        <v>38796.050000000003</v>
      </c>
      <c r="K22" s="54">
        <v>30511534.368000001</v>
      </c>
      <c r="L22" s="56">
        <f t="shared" si="0"/>
        <v>92171754.687999994</v>
      </c>
    </row>
    <row r="23" spans="1:12" ht="18.75" customHeight="1" x14ac:dyDescent="0.2">
      <c r="A23" s="73"/>
      <c r="B23" s="57"/>
      <c r="C23" s="58"/>
      <c r="D23" s="59"/>
      <c r="E23" s="58"/>
      <c r="F23" s="58"/>
      <c r="G23" s="59"/>
      <c r="H23" s="58"/>
      <c r="I23" s="58"/>
      <c r="J23" s="59"/>
      <c r="K23" s="58"/>
      <c r="L23" s="60"/>
    </row>
    <row r="24" spans="1:12" x14ac:dyDescent="0.2">
      <c r="A24" s="25" t="s">
        <v>76</v>
      </c>
    </row>
    <row r="25" spans="1:12" x14ac:dyDescent="0.2">
      <c r="A25" s="64"/>
    </row>
  </sheetData>
  <mergeCells count="2">
    <mergeCell ref="A1:L1"/>
    <mergeCell ref="A2:L2"/>
  </mergeCells>
  <printOptions horizontalCentered="1"/>
  <pageMargins left="0.5" right="0.5" top="1" bottom="1" header="0.25" footer="0.25"/>
  <pageSetup paperSize="9" scale="48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showGridLines="0" workbookViewId="0">
      <pane xSplit="1" ySplit="4" topLeftCell="B5" activePane="bottomRight" state="frozen"/>
      <selection activeCell="E48" sqref="E48"/>
      <selection pane="topRight" activeCell="E48" sqref="E48"/>
      <selection pane="bottomLeft" activeCell="E48" sqref="E48"/>
      <selection pane="bottomRight" activeCell="C30" sqref="C30"/>
    </sheetView>
  </sheetViews>
  <sheetFormatPr defaultColWidth="9" defaultRowHeight="12.75" x14ac:dyDescent="0.2"/>
  <cols>
    <col min="1" max="1" width="41.28515625" style="63" bestFit="1" customWidth="1"/>
    <col min="2" max="2" width="18.28515625" style="61" customWidth="1"/>
    <col min="3" max="3" width="12.28515625" style="61" customWidth="1"/>
    <col min="4" max="4" width="9.5703125" style="61" customWidth="1"/>
    <col min="5" max="6" width="10.5703125" style="61" customWidth="1"/>
    <col min="7" max="7" width="9.85546875" style="62" customWidth="1"/>
    <col min="8" max="9" width="10.5703125" style="61" customWidth="1"/>
    <col min="10" max="10" width="10.7109375" style="61" customWidth="1"/>
    <col min="11" max="11" width="12.7109375" style="61" customWidth="1"/>
    <col min="12" max="12" width="14.42578125" style="63" customWidth="1"/>
    <col min="13" max="253" width="9" style="1"/>
    <col min="254" max="254" width="24.85546875" style="1" customWidth="1"/>
    <col min="255" max="255" width="18.28515625" style="1" customWidth="1"/>
    <col min="256" max="256" width="12.28515625" style="1" customWidth="1"/>
    <col min="257" max="257" width="0" style="1" hidden="1" customWidth="1"/>
    <col min="258" max="258" width="9.5703125" style="1" customWidth="1"/>
    <col min="259" max="260" width="10.5703125" style="1" customWidth="1"/>
    <col min="261" max="261" width="9.85546875" style="1" customWidth="1"/>
    <col min="262" max="263" width="10.5703125" style="1" customWidth="1"/>
    <col min="264" max="264" width="0" style="1" hidden="1" customWidth="1"/>
    <col min="265" max="265" width="10.7109375" style="1" customWidth="1"/>
    <col min="266" max="266" width="12.7109375" style="1" customWidth="1"/>
    <col min="267" max="267" width="0" style="1" hidden="1" customWidth="1"/>
    <col min="268" max="268" width="14.42578125" style="1" customWidth="1"/>
    <col min="269" max="509" width="9" style="1"/>
    <col min="510" max="510" width="24.85546875" style="1" customWidth="1"/>
    <col min="511" max="511" width="18.28515625" style="1" customWidth="1"/>
    <col min="512" max="512" width="12.28515625" style="1" customWidth="1"/>
    <col min="513" max="513" width="0" style="1" hidden="1" customWidth="1"/>
    <col min="514" max="514" width="9.5703125" style="1" customWidth="1"/>
    <col min="515" max="516" width="10.5703125" style="1" customWidth="1"/>
    <col min="517" max="517" width="9.85546875" style="1" customWidth="1"/>
    <col min="518" max="519" width="10.5703125" style="1" customWidth="1"/>
    <col min="520" max="520" width="0" style="1" hidden="1" customWidth="1"/>
    <col min="521" max="521" width="10.7109375" style="1" customWidth="1"/>
    <col min="522" max="522" width="12.7109375" style="1" customWidth="1"/>
    <col min="523" max="523" width="0" style="1" hidden="1" customWidth="1"/>
    <col min="524" max="524" width="14.42578125" style="1" customWidth="1"/>
    <col min="525" max="765" width="9" style="1"/>
    <col min="766" max="766" width="24.85546875" style="1" customWidth="1"/>
    <col min="767" max="767" width="18.28515625" style="1" customWidth="1"/>
    <col min="768" max="768" width="12.28515625" style="1" customWidth="1"/>
    <col min="769" max="769" width="0" style="1" hidden="1" customWidth="1"/>
    <col min="770" max="770" width="9.5703125" style="1" customWidth="1"/>
    <col min="771" max="772" width="10.5703125" style="1" customWidth="1"/>
    <col min="773" max="773" width="9.85546875" style="1" customWidth="1"/>
    <col min="774" max="775" width="10.5703125" style="1" customWidth="1"/>
    <col min="776" max="776" width="0" style="1" hidden="1" customWidth="1"/>
    <col min="777" max="777" width="10.7109375" style="1" customWidth="1"/>
    <col min="778" max="778" width="12.7109375" style="1" customWidth="1"/>
    <col min="779" max="779" width="0" style="1" hidden="1" customWidth="1"/>
    <col min="780" max="780" width="14.42578125" style="1" customWidth="1"/>
    <col min="781" max="1021" width="9" style="1"/>
    <col min="1022" max="1022" width="24.85546875" style="1" customWidth="1"/>
    <col min="1023" max="1023" width="18.28515625" style="1" customWidth="1"/>
    <col min="1024" max="1024" width="12.28515625" style="1" customWidth="1"/>
    <col min="1025" max="1025" width="0" style="1" hidden="1" customWidth="1"/>
    <col min="1026" max="1026" width="9.5703125" style="1" customWidth="1"/>
    <col min="1027" max="1028" width="10.5703125" style="1" customWidth="1"/>
    <col min="1029" max="1029" width="9.85546875" style="1" customWidth="1"/>
    <col min="1030" max="1031" width="10.5703125" style="1" customWidth="1"/>
    <col min="1032" max="1032" width="0" style="1" hidden="1" customWidth="1"/>
    <col min="1033" max="1033" width="10.7109375" style="1" customWidth="1"/>
    <col min="1034" max="1034" width="12.7109375" style="1" customWidth="1"/>
    <col min="1035" max="1035" width="0" style="1" hidden="1" customWidth="1"/>
    <col min="1036" max="1036" width="14.42578125" style="1" customWidth="1"/>
    <col min="1037" max="1277" width="9" style="1"/>
    <col min="1278" max="1278" width="24.85546875" style="1" customWidth="1"/>
    <col min="1279" max="1279" width="18.28515625" style="1" customWidth="1"/>
    <col min="1280" max="1280" width="12.28515625" style="1" customWidth="1"/>
    <col min="1281" max="1281" width="0" style="1" hidden="1" customWidth="1"/>
    <col min="1282" max="1282" width="9.5703125" style="1" customWidth="1"/>
    <col min="1283" max="1284" width="10.5703125" style="1" customWidth="1"/>
    <col min="1285" max="1285" width="9.85546875" style="1" customWidth="1"/>
    <col min="1286" max="1287" width="10.5703125" style="1" customWidth="1"/>
    <col min="1288" max="1288" width="0" style="1" hidden="1" customWidth="1"/>
    <col min="1289" max="1289" width="10.7109375" style="1" customWidth="1"/>
    <col min="1290" max="1290" width="12.7109375" style="1" customWidth="1"/>
    <col min="1291" max="1291" width="0" style="1" hidden="1" customWidth="1"/>
    <col min="1292" max="1292" width="14.42578125" style="1" customWidth="1"/>
    <col min="1293" max="1533" width="9" style="1"/>
    <col min="1534" max="1534" width="24.85546875" style="1" customWidth="1"/>
    <col min="1535" max="1535" width="18.28515625" style="1" customWidth="1"/>
    <col min="1536" max="1536" width="12.28515625" style="1" customWidth="1"/>
    <col min="1537" max="1537" width="0" style="1" hidden="1" customWidth="1"/>
    <col min="1538" max="1538" width="9.5703125" style="1" customWidth="1"/>
    <col min="1539" max="1540" width="10.5703125" style="1" customWidth="1"/>
    <col min="1541" max="1541" width="9.85546875" style="1" customWidth="1"/>
    <col min="1542" max="1543" width="10.5703125" style="1" customWidth="1"/>
    <col min="1544" max="1544" width="0" style="1" hidden="1" customWidth="1"/>
    <col min="1545" max="1545" width="10.7109375" style="1" customWidth="1"/>
    <col min="1546" max="1546" width="12.7109375" style="1" customWidth="1"/>
    <col min="1547" max="1547" width="0" style="1" hidden="1" customWidth="1"/>
    <col min="1548" max="1548" width="14.42578125" style="1" customWidth="1"/>
    <col min="1549" max="1789" width="9" style="1"/>
    <col min="1790" max="1790" width="24.85546875" style="1" customWidth="1"/>
    <col min="1791" max="1791" width="18.28515625" style="1" customWidth="1"/>
    <col min="1792" max="1792" width="12.28515625" style="1" customWidth="1"/>
    <col min="1793" max="1793" width="0" style="1" hidden="1" customWidth="1"/>
    <col min="1794" max="1794" width="9.5703125" style="1" customWidth="1"/>
    <col min="1795" max="1796" width="10.5703125" style="1" customWidth="1"/>
    <col min="1797" max="1797" width="9.85546875" style="1" customWidth="1"/>
    <col min="1798" max="1799" width="10.5703125" style="1" customWidth="1"/>
    <col min="1800" max="1800" width="0" style="1" hidden="1" customWidth="1"/>
    <col min="1801" max="1801" width="10.7109375" style="1" customWidth="1"/>
    <col min="1802" max="1802" width="12.7109375" style="1" customWidth="1"/>
    <col min="1803" max="1803" width="0" style="1" hidden="1" customWidth="1"/>
    <col min="1804" max="1804" width="14.42578125" style="1" customWidth="1"/>
    <col min="1805" max="2045" width="9" style="1"/>
    <col min="2046" max="2046" width="24.85546875" style="1" customWidth="1"/>
    <col min="2047" max="2047" width="18.28515625" style="1" customWidth="1"/>
    <col min="2048" max="2048" width="12.28515625" style="1" customWidth="1"/>
    <col min="2049" max="2049" width="0" style="1" hidden="1" customWidth="1"/>
    <col min="2050" max="2050" width="9.5703125" style="1" customWidth="1"/>
    <col min="2051" max="2052" width="10.5703125" style="1" customWidth="1"/>
    <col min="2053" max="2053" width="9.85546875" style="1" customWidth="1"/>
    <col min="2054" max="2055" width="10.5703125" style="1" customWidth="1"/>
    <col min="2056" max="2056" width="0" style="1" hidden="1" customWidth="1"/>
    <col min="2057" max="2057" width="10.7109375" style="1" customWidth="1"/>
    <col min="2058" max="2058" width="12.7109375" style="1" customWidth="1"/>
    <col min="2059" max="2059" width="0" style="1" hidden="1" customWidth="1"/>
    <col min="2060" max="2060" width="14.42578125" style="1" customWidth="1"/>
    <col min="2061" max="2301" width="9" style="1"/>
    <col min="2302" max="2302" width="24.85546875" style="1" customWidth="1"/>
    <col min="2303" max="2303" width="18.28515625" style="1" customWidth="1"/>
    <col min="2304" max="2304" width="12.28515625" style="1" customWidth="1"/>
    <col min="2305" max="2305" width="0" style="1" hidden="1" customWidth="1"/>
    <col min="2306" max="2306" width="9.5703125" style="1" customWidth="1"/>
    <col min="2307" max="2308" width="10.5703125" style="1" customWidth="1"/>
    <col min="2309" max="2309" width="9.85546875" style="1" customWidth="1"/>
    <col min="2310" max="2311" width="10.5703125" style="1" customWidth="1"/>
    <col min="2312" max="2312" width="0" style="1" hidden="1" customWidth="1"/>
    <col min="2313" max="2313" width="10.7109375" style="1" customWidth="1"/>
    <col min="2314" max="2314" width="12.7109375" style="1" customWidth="1"/>
    <col min="2315" max="2315" width="0" style="1" hidden="1" customWidth="1"/>
    <col min="2316" max="2316" width="14.42578125" style="1" customWidth="1"/>
    <col min="2317" max="2557" width="9" style="1"/>
    <col min="2558" max="2558" width="24.85546875" style="1" customWidth="1"/>
    <col min="2559" max="2559" width="18.28515625" style="1" customWidth="1"/>
    <col min="2560" max="2560" width="12.28515625" style="1" customWidth="1"/>
    <col min="2561" max="2561" width="0" style="1" hidden="1" customWidth="1"/>
    <col min="2562" max="2562" width="9.5703125" style="1" customWidth="1"/>
    <col min="2563" max="2564" width="10.5703125" style="1" customWidth="1"/>
    <col min="2565" max="2565" width="9.85546875" style="1" customWidth="1"/>
    <col min="2566" max="2567" width="10.5703125" style="1" customWidth="1"/>
    <col min="2568" max="2568" width="0" style="1" hidden="1" customWidth="1"/>
    <col min="2569" max="2569" width="10.7109375" style="1" customWidth="1"/>
    <col min="2570" max="2570" width="12.7109375" style="1" customWidth="1"/>
    <col min="2571" max="2571" width="0" style="1" hidden="1" customWidth="1"/>
    <col min="2572" max="2572" width="14.42578125" style="1" customWidth="1"/>
    <col min="2573" max="2813" width="9" style="1"/>
    <col min="2814" max="2814" width="24.85546875" style="1" customWidth="1"/>
    <col min="2815" max="2815" width="18.28515625" style="1" customWidth="1"/>
    <col min="2816" max="2816" width="12.28515625" style="1" customWidth="1"/>
    <col min="2817" max="2817" width="0" style="1" hidden="1" customWidth="1"/>
    <col min="2818" max="2818" width="9.5703125" style="1" customWidth="1"/>
    <col min="2819" max="2820" width="10.5703125" style="1" customWidth="1"/>
    <col min="2821" max="2821" width="9.85546875" style="1" customWidth="1"/>
    <col min="2822" max="2823" width="10.5703125" style="1" customWidth="1"/>
    <col min="2824" max="2824" width="0" style="1" hidden="1" customWidth="1"/>
    <col min="2825" max="2825" width="10.7109375" style="1" customWidth="1"/>
    <col min="2826" max="2826" width="12.7109375" style="1" customWidth="1"/>
    <col min="2827" max="2827" width="0" style="1" hidden="1" customWidth="1"/>
    <col min="2828" max="2828" width="14.42578125" style="1" customWidth="1"/>
    <col min="2829" max="3069" width="9" style="1"/>
    <col min="3070" max="3070" width="24.85546875" style="1" customWidth="1"/>
    <col min="3071" max="3071" width="18.28515625" style="1" customWidth="1"/>
    <col min="3072" max="3072" width="12.28515625" style="1" customWidth="1"/>
    <col min="3073" max="3073" width="0" style="1" hidden="1" customWidth="1"/>
    <col min="3074" max="3074" width="9.5703125" style="1" customWidth="1"/>
    <col min="3075" max="3076" width="10.5703125" style="1" customWidth="1"/>
    <col min="3077" max="3077" width="9.85546875" style="1" customWidth="1"/>
    <col min="3078" max="3079" width="10.5703125" style="1" customWidth="1"/>
    <col min="3080" max="3080" width="0" style="1" hidden="1" customWidth="1"/>
    <col min="3081" max="3081" width="10.7109375" style="1" customWidth="1"/>
    <col min="3082" max="3082" width="12.7109375" style="1" customWidth="1"/>
    <col min="3083" max="3083" width="0" style="1" hidden="1" customWidth="1"/>
    <col min="3084" max="3084" width="14.42578125" style="1" customWidth="1"/>
    <col min="3085" max="3325" width="9" style="1"/>
    <col min="3326" max="3326" width="24.85546875" style="1" customWidth="1"/>
    <col min="3327" max="3327" width="18.28515625" style="1" customWidth="1"/>
    <col min="3328" max="3328" width="12.28515625" style="1" customWidth="1"/>
    <col min="3329" max="3329" width="0" style="1" hidden="1" customWidth="1"/>
    <col min="3330" max="3330" width="9.5703125" style="1" customWidth="1"/>
    <col min="3331" max="3332" width="10.5703125" style="1" customWidth="1"/>
    <col min="3333" max="3333" width="9.85546875" style="1" customWidth="1"/>
    <col min="3334" max="3335" width="10.5703125" style="1" customWidth="1"/>
    <col min="3336" max="3336" width="0" style="1" hidden="1" customWidth="1"/>
    <col min="3337" max="3337" width="10.7109375" style="1" customWidth="1"/>
    <col min="3338" max="3338" width="12.7109375" style="1" customWidth="1"/>
    <col min="3339" max="3339" width="0" style="1" hidden="1" customWidth="1"/>
    <col min="3340" max="3340" width="14.42578125" style="1" customWidth="1"/>
    <col min="3341" max="3581" width="9" style="1"/>
    <col min="3582" max="3582" width="24.85546875" style="1" customWidth="1"/>
    <col min="3583" max="3583" width="18.28515625" style="1" customWidth="1"/>
    <col min="3584" max="3584" width="12.28515625" style="1" customWidth="1"/>
    <col min="3585" max="3585" width="0" style="1" hidden="1" customWidth="1"/>
    <col min="3586" max="3586" width="9.5703125" style="1" customWidth="1"/>
    <col min="3587" max="3588" width="10.5703125" style="1" customWidth="1"/>
    <col min="3589" max="3589" width="9.85546875" style="1" customWidth="1"/>
    <col min="3590" max="3591" width="10.5703125" style="1" customWidth="1"/>
    <col min="3592" max="3592" width="0" style="1" hidden="1" customWidth="1"/>
    <col min="3593" max="3593" width="10.7109375" style="1" customWidth="1"/>
    <col min="3594" max="3594" width="12.7109375" style="1" customWidth="1"/>
    <col min="3595" max="3595" width="0" style="1" hidden="1" customWidth="1"/>
    <col min="3596" max="3596" width="14.42578125" style="1" customWidth="1"/>
    <col min="3597" max="3837" width="9" style="1"/>
    <col min="3838" max="3838" width="24.85546875" style="1" customWidth="1"/>
    <col min="3839" max="3839" width="18.28515625" style="1" customWidth="1"/>
    <col min="3840" max="3840" width="12.28515625" style="1" customWidth="1"/>
    <col min="3841" max="3841" width="0" style="1" hidden="1" customWidth="1"/>
    <col min="3842" max="3842" width="9.5703125" style="1" customWidth="1"/>
    <col min="3843" max="3844" width="10.5703125" style="1" customWidth="1"/>
    <col min="3845" max="3845" width="9.85546875" style="1" customWidth="1"/>
    <col min="3846" max="3847" width="10.5703125" style="1" customWidth="1"/>
    <col min="3848" max="3848" width="0" style="1" hidden="1" customWidth="1"/>
    <col min="3849" max="3849" width="10.7109375" style="1" customWidth="1"/>
    <col min="3850" max="3850" width="12.7109375" style="1" customWidth="1"/>
    <col min="3851" max="3851" width="0" style="1" hidden="1" customWidth="1"/>
    <col min="3852" max="3852" width="14.42578125" style="1" customWidth="1"/>
    <col min="3853" max="4093" width="9" style="1"/>
    <col min="4094" max="4094" width="24.85546875" style="1" customWidth="1"/>
    <col min="4095" max="4095" width="18.28515625" style="1" customWidth="1"/>
    <col min="4096" max="4096" width="12.28515625" style="1" customWidth="1"/>
    <col min="4097" max="4097" width="0" style="1" hidden="1" customWidth="1"/>
    <col min="4098" max="4098" width="9.5703125" style="1" customWidth="1"/>
    <col min="4099" max="4100" width="10.5703125" style="1" customWidth="1"/>
    <col min="4101" max="4101" width="9.85546875" style="1" customWidth="1"/>
    <col min="4102" max="4103" width="10.5703125" style="1" customWidth="1"/>
    <col min="4104" max="4104" width="0" style="1" hidden="1" customWidth="1"/>
    <col min="4105" max="4105" width="10.7109375" style="1" customWidth="1"/>
    <col min="4106" max="4106" width="12.7109375" style="1" customWidth="1"/>
    <col min="4107" max="4107" width="0" style="1" hidden="1" customWidth="1"/>
    <col min="4108" max="4108" width="14.42578125" style="1" customWidth="1"/>
    <col min="4109" max="4349" width="9" style="1"/>
    <col min="4350" max="4350" width="24.85546875" style="1" customWidth="1"/>
    <col min="4351" max="4351" width="18.28515625" style="1" customWidth="1"/>
    <col min="4352" max="4352" width="12.28515625" style="1" customWidth="1"/>
    <col min="4353" max="4353" width="0" style="1" hidden="1" customWidth="1"/>
    <col min="4354" max="4354" width="9.5703125" style="1" customWidth="1"/>
    <col min="4355" max="4356" width="10.5703125" style="1" customWidth="1"/>
    <col min="4357" max="4357" width="9.85546875" style="1" customWidth="1"/>
    <col min="4358" max="4359" width="10.5703125" style="1" customWidth="1"/>
    <col min="4360" max="4360" width="0" style="1" hidden="1" customWidth="1"/>
    <col min="4361" max="4361" width="10.7109375" style="1" customWidth="1"/>
    <col min="4362" max="4362" width="12.7109375" style="1" customWidth="1"/>
    <col min="4363" max="4363" width="0" style="1" hidden="1" customWidth="1"/>
    <col min="4364" max="4364" width="14.42578125" style="1" customWidth="1"/>
    <col min="4365" max="4605" width="9" style="1"/>
    <col min="4606" max="4606" width="24.85546875" style="1" customWidth="1"/>
    <col min="4607" max="4607" width="18.28515625" style="1" customWidth="1"/>
    <col min="4608" max="4608" width="12.28515625" style="1" customWidth="1"/>
    <col min="4609" max="4609" width="0" style="1" hidden="1" customWidth="1"/>
    <col min="4610" max="4610" width="9.5703125" style="1" customWidth="1"/>
    <col min="4611" max="4612" width="10.5703125" style="1" customWidth="1"/>
    <col min="4613" max="4613" width="9.85546875" style="1" customWidth="1"/>
    <col min="4614" max="4615" width="10.5703125" style="1" customWidth="1"/>
    <col min="4616" max="4616" width="0" style="1" hidden="1" customWidth="1"/>
    <col min="4617" max="4617" width="10.7109375" style="1" customWidth="1"/>
    <col min="4618" max="4618" width="12.7109375" style="1" customWidth="1"/>
    <col min="4619" max="4619" width="0" style="1" hidden="1" customWidth="1"/>
    <col min="4620" max="4620" width="14.42578125" style="1" customWidth="1"/>
    <col min="4621" max="4861" width="9" style="1"/>
    <col min="4862" max="4862" width="24.85546875" style="1" customWidth="1"/>
    <col min="4863" max="4863" width="18.28515625" style="1" customWidth="1"/>
    <col min="4864" max="4864" width="12.28515625" style="1" customWidth="1"/>
    <col min="4865" max="4865" width="0" style="1" hidden="1" customWidth="1"/>
    <col min="4866" max="4866" width="9.5703125" style="1" customWidth="1"/>
    <col min="4867" max="4868" width="10.5703125" style="1" customWidth="1"/>
    <col min="4869" max="4869" width="9.85546875" style="1" customWidth="1"/>
    <col min="4870" max="4871" width="10.5703125" style="1" customWidth="1"/>
    <col min="4872" max="4872" width="0" style="1" hidden="1" customWidth="1"/>
    <col min="4873" max="4873" width="10.7109375" style="1" customWidth="1"/>
    <col min="4874" max="4874" width="12.7109375" style="1" customWidth="1"/>
    <col min="4875" max="4875" width="0" style="1" hidden="1" customWidth="1"/>
    <col min="4876" max="4876" width="14.42578125" style="1" customWidth="1"/>
    <col min="4877" max="5117" width="9" style="1"/>
    <col min="5118" max="5118" width="24.85546875" style="1" customWidth="1"/>
    <col min="5119" max="5119" width="18.28515625" style="1" customWidth="1"/>
    <col min="5120" max="5120" width="12.28515625" style="1" customWidth="1"/>
    <col min="5121" max="5121" width="0" style="1" hidden="1" customWidth="1"/>
    <col min="5122" max="5122" width="9.5703125" style="1" customWidth="1"/>
    <col min="5123" max="5124" width="10.5703125" style="1" customWidth="1"/>
    <col min="5125" max="5125" width="9.85546875" style="1" customWidth="1"/>
    <col min="5126" max="5127" width="10.5703125" style="1" customWidth="1"/>
    <col min="5128" max="5128" width="0" style="1" hidden="1" customWidth="1"/>
    <col min="5129" max="5129" width="10.7109375" style="1" customWidth="1"/>
    <col min="5130" max="5130" width="12.7109375" style="1" customWidth="1"/>
    <col min="5131" max="5131" width="0" style="1" hidden="1" customWidth="1"/>
    <col min="5132" max="5132" width="14.42578125" style="1" customWidth="1"/>
    <col min="5133" max="5373" width="9" style="1"/>
    <col min="5374" max="5374" width="24.85546875" style="1" customWidth="1"/>
    <col min="5375" max="5375" width="18.28515625" style="1" customWidth="1"/>
    <col min="5376" max="5376" width="12.28515625" style="1" customWidth="1"/>
    <col min="5377" max="5377" width="0" style="1" hidden="1" customWidth="1"/>
    <col min="5378" max="5378" width="9.5703125" style="1" customWidth="1"/>
    <col min="5379" max="5380" width="10.5703125" style="1" customWidth="1"/>
    <col min="5381" max="5381" width="9.85546875" style="1" customWidth="1"/>
    <col min="5382" max="5383" width="10.5703125" style="1" customWidth="1"/>
    <col min="5384" max="5384" width="0" style="1" hidden="1" customWidth="1"/>
    <col min="5385" max="5385" width="10.7109375" style="1" customWidth="1"/>
    <col min="5386" max="5386" width="12.7109375" style="1" customWidth="1"/>
    <col min="5387" max="5387" width="0" style="1" hidden="1" customWidth="1"/>
    <col min="5388" max="5388" width="14.42578125" style="1" customWidth="1"/>
    <col min="5389" max="5629" width="9" style="1"/>
    <col min="5630" max="5630" width="24.85546875" style="1" customWidth="1"/>
    <col min="5631" max="5631" width="18.28515625" style="1" customWidth="1"/>
    <col min="5632" max="5632" width="12.28515625" style="1" customWidth="1"/>
    <col min="5633" max="5633" width="0" style="1" hidden="1" customWidth="1"/>
    <col min="5634" max="5634" width="9.5703125" style="1" customWidth="1"/>
    <col min="5635" max="5636" width="10.5703125" style="1" customWidth="1"/>
    <col min="5637" max="5637" width="9.85546875" style="1" customWidth="1"/>
    <col min="5638" max="5639" width="10.5703125" style="1" customWidth="1"/>
    <col min="5640" max="5640" width="0" style="1" hidden="1" customWidth="1"/>
    <col min="5641" max="5641" width="10.7109375" style="1" customWidth="1"/>
    <col min="5642" max="5642" width="12.7109375" style="1" customWidth="1"/>
    <col min="5643" max="5643" width="0" style="1" hidden="1" customWidth="1"/>
    <col min="5644" max="5644" width="14.42578125" style="1" customWidth="1"/>
    <col min="5645" max="5885" width="9" style="1"/>
    <col min="5886" max="5886" width="24.85546875" style="1" customWidth="1"/>
    <col min="5887" max="5887" width="18.28515625" style="1" customWidth="1"/>
    <col min="5888" max="5888" width="12.28515625" style="1" customWidth="1"/>
    <col min="5889" max="5889" width="0" style="1" hidden="1" customWidth="1"/>
    <col min="5890" max="5890" width="9.5703125" style="1" customWidth="1"/>
    <col min="5891" max="5892" width="10.5703125" style="1" customWidth="1"/>
    <col min="5893" max="5893" width="9.85546875" style="1" customWidth="1"/>
    <col min="5894" max="5895" width="10.5703125" style="1" customWidth="1"/>
    <col min="5896" max="5896" width="0" style="1" hidden="1" customWidth="1"/>
    <col min="5897" max="5897" width="10.7109375" style="1" customWidth="1"/>
    <col min="5898" max="5898" width="12.7109375" style="1" customWidth="1"/>
    <col min="5899" max="5899" width="0" style="1" hidden="1" customWidth="1"/>
    <col min="5900" max="5900" width="14.42578125" style="1" customWidth="1"/>
    <col min="5901" max="6141" width="9" style="1"/>
    <col min="6142" max="6142" width="24.85546875" style="1" customWidth="1"/>
    <col min="6143" max="6143" width="18.28515625" style="1" customWidth="1"/>
    <col min="6144" max="6144" width="12.28515625" style="1" customWidth="1"/>
    <col min="6145" max="6145" width="0" style="1" hidden="1" customWidth="1"/>
    <col min="6146" max="6146" width="9.5703125" style="1" customWidth="1"/>
    <col min="6147" max="6148" width="10.5703125" style="1" customWidth="1"/>
    <col min="6149" max="6149" width="9.85546875" style="1" customWidth="1"/>
    <col min="6150" max="6151" width="10.5703125" style="1" customWidth="1"/>
    <col min="6152" max="6152" width="0" style="1" hidden="1" customWidth="1"/>
    <col min="6153" max="6153" width="10.7109375" style="1" customWidth="1"/>
    <col min="6154" max="6154" width="12.7109375" style="1" customWidth="1"/>
    <col min="6155" max="6155" width="0" style="1" hidden="1" customWidth="1"/>
    <col min="6156" max="6156" width="14.42578125" style="1" customWidth="1"/>
    <col min="6157" max="6397" width="9" style="1"/>
    <col min="6398" max="6398" width="24.85546875" style="1" customWidth="1"/>
    <col min="6399" max="6399" width="18.28515625" style="1" customWidth="1"/>
    <col min="6400" max="6400" width="12.28515625" style="1" customWidth="1"/>
    <col min="6401" max="6401" width="0" style="1" hidden="1" customWidth="1"/>
    <col min="6402" max="6402" width="9.5703125" style="1" customWidth="1"/>
    <col min="6403" max="6404" width="10.5703125" style="1" customWidth="1"/>
    <col min="6405" max="6405" width="9.85546875" style="1" customWidth="1"/>
    <col min="6406" max="6407" width="10.5703125" style="1" customWidth="1"/>
    <col min="6408" max="6408" width="0" style="1" hidden="1" customWidth="1"/>
    <col min="6409" max="6409" width="10.7109375" style="1" customWidth="1"/>
    <col min="6410" max="6410" width="12.7109375" style="1" customWidth="1"/>
    <col min="6411" max="6411" width="0" style="1" hidden="1" customWidth="1"/>
    <col min="6412" max="6412" width="14.42578125" style="1" customWidth="1"/>
    <col min="6413" max="6653" width="9" style="1"/>
    <col min="6654" max="6654" width="24.85546875" style="1" customWidth="1"/>
    <col min="6655" max="6655" width="18.28515625" style="1" customWidth="1"/>
    <col min="6656" max="6656" width="12.28515625" style="1" customWidth="1"/>
    <col min="6657" max="6657" width="0" style="1" hidden="1" customWidth="1"/>
    <col min="6658" max="6658" width="9.5703125" style="1" customWidth="1"/>
    <col min="6659" max="6660" width="10.5703125" style="1" customWidth="1"/>
    <col min="6661" max="6661" width="9.85546875" style="1" customWidth="1"/>
    <col min="6662" max="6663" width="10.5703125" style="1" customWidth="1"/>
    <col min="6664" max="6664" width="0" style="1" hidden="1" customWidth="1"/>
    <col min="6665" max="6665" width="10.7109375" style="1" customWidth="1"/>
    <col min="6666" max="6666" width="12.7109375" style="1" customWidth="1"/>
    <col min="6667" max="6667" width="0" style="1" hidden="1" customWidth="1"/>
    <col min="6668" max="6668" width="14.42578125" style="1" customWidth="1"/>
    <col min="6669" max="6909" width="9" style="1"/>
    <col min="6910" max="6910" width="24.85546875" style="1" customWidth="1"/>
    <col min="6911" max="6911" width="18.28515625" style="1" customWidth="1"/>
    <col min="6912" max="6912" width="12.28515625" style="1" customWidth="1"/>
    <col min="6913" max="6913" width="0" style="1" hidden="1" customWidth="1"/>
    <col min="6914" max="6914" width="9.5703125" style="1" customWidth="1"/>
    <col min="6915" max="6916" width="10.5703125" style="1" customWidth="1"/>
    <col min="6917" max="6917" width="9.85546875" style="1" customWidth="1"/>
    <col min="6918" max="6919" width="10.5703125" style="1" customWidth="1"/>
    <col min="6920" max="6920" width="0" style="1" hidden="1" customWidth="1"/>
    <col min="6921" max="6921" width="10.7109375" style="1" customWidth="1"/>
    <col min="6922" max="6922" width="12.7109375" style="1" customWidth="1"/>
    <col min="6923" max="6923" width="0" style="1" hidden="1" customWidth="1"/>
    <col min="6924" max="6924" width="14.42578125" style="1" customWidth="1"/>
    <col min="6925" max="7165" width="9" style="1"/>
    <col min="7166" max="7166" width="24.85546875" style="1" customWidth="1"/>
    <col min="7167" max="7167" width="18.28515625" style="1" customWidth="1"/>
    <col min="7168" max="7168" width="12.28515625" style="1" customWidth="1"/>
    <col min="7169" max="7169" width="0" style="1" hidden="1" customWidth="1"/>
    <col min="7170" max="7170" width="9.5703125" style="1" customWidth="1"/>
    <col min="7171" max="7172" width="10.5703125" style="1" customWidth="1"/>
    <col min="7173" max="7173" width="9.85546875" style="1" customWidth="1"/>
    <col min="7174" max="7175" width="10.5703125" style="1" customWidth="1"/>
    <col min="7176" max="7176" width="0" style="1" hidden="1" customWidth="1"/>
    <col min="7177" max="7177" width="10.7109375" style="1" customWidth="1"/>
    <col min="7178" max="7178" width="12.7109375" style="1" customWidth="1"/>
    <col min="7179" max="7179" width="0" style="1" hidden="1" customWidth="1"/>
    <col min="7180" max="7180" width="14.42578125" style="1" customWidth="1"/>
    <col min="7181" max="7421" width="9" style="1"/>
    <col min="7422" max="7422" width="24.85546875" style="1" customWidth="1"/>
    <col min="7423" max="7423" width="18.28515625" style="1" customWidth="1"/>
    <col min="7424" max="7424" width="12.28515625" style="1" customWidth="1"/>
    <col min="7425" max="7425" width="0" style="1" hidden="1" customWidth="1"/>
    <col min="7426" max="7426" width="9.5703125" style="1" customWidth="1"/>
    <col min="7427" max="7428" width="10.5703125" style="1" customWidth="1"/>
    <col min="7429" max="7429" width="9.85546875" style="1" customWidth="1"/>
    <col min="7430" max="7431" width="10.5703125" style="1" customWidth="1"/>
    <col min="7432" max="7432" width="0" style="1" hidden="1" customWidth="1"/>
    <col min="7433" max="7433" width="10.7109375" style="1" customWidth="1"/>
    <col min="7434" max="7434" width="12.7109375" style="1" customWidth="1"/>
    <col min="7435" max="7435" width="0" style="1" hidden="1" customWidth="1"/>
    <col min="7436" max="7436" width="14.42578125" style="1" customWidth="1"/>
    <col min="7437" max="7677" width="9" style="1"/>
    <col min="7678" max="7678" width="24.85546875" style="1" customWidth="1"/>
    <col min="7679" max="7679" width="18.28515625" style="1" customWidth="1"/>
    <col min="7680" max="7680" width="12.28515625" style="1" customWidth="1"/>
    <col min="7681" max="7681" width="0" style="1" hidden="1" customWidth="1"/>
    <col min="7682" max="7682" width="9.5703125" style="1" customWidth="1"/>
    <col min="7683" max="7684" width="10.5703125" style="1" customWidth="1"/>
    <col min="7685" max="7685" width="9.85546875" style="1" customWidth="1"/>
    <col min="7686" max="7687" width="10.5703125" style="1" customWidth="1"/>
    <col min="7688" max="7688" width="0" style="1" hidden="1" customWidth="1"/>
    <col min="7689" max="7689" width="10.7109375" style="1" customWidth="1"/>
    <col min="7690" max="7690" width="12.7109375" style="1" customWidth="1"/>
    <col min="7691" max="7691" width="0" style="1" hidden="1" customWidth="1"/>
    <col min="7692" max="7692" width="14.42578125" style="1" customWidth="1"/>
    <col min="7693" max="7933" width="9" style="1"/>
    <col min="7934" max="7934" width="24.85546875" style="1" customWidth="1"/>
    <col min="7935" max="7935" width="18.28515625" style="1" customWidth="1"/>
    <col min="7936" max="7936" width="12.28515625" style="1" customWidth="1"/>
    <col min="7937" max="7937" width="0" style="1" hidden="1" customWidth="1"/>
    <col min="7938" max="7938" width="9.5703125" style="1" customWidth="1"/>
    <col min="7939" max="7940" width="10.5703125" style="1" customWidth="1"/>
    <col min="7941" max="7941" width="9.85546875" style="1" customWidth="1"/>
    <col min="7942" max="7943" width="10.5703125" style="1" customWidth="1"/>
    <col min="7944" max="7944" width="0" style="1" hidden="1" customWidth="1"/>
    <col min="7945" max="7945" width="10.7109375" style="1" customWidth="1"/>
    <col min="7946" max="7946" width="12.7109375" style="1" customWidth="1"/>
    <col min="7947" max="7947" width="0" style="1" hidden="1" customWidth="1"/>
    <col min="7948" max="7948" width="14.42578125" style="1" customWidth="1"/>
    <col min="7949" max="8189" width="9" style="1"/>
    <col min="8190" max="8190" width="24.85546875" style="1" customWidth="1"/>
    <col min="8191" max="8191" width="18.28515625" style="1" customWidth="1"/>
    <col min="8192" max="8192" width="12.28515625" style="1" customWidth="1"/>
    <col min="8193" max="8193" width="0" style="1" hidden="1" customWidth="1"/>
    <col min="8194" max="8194" width="9.5703125" style="1" customWidth="1"/>
    <col min="8195" max="8196" width="10.5703125" style="1" customWidth="1"/>
    <col min="8197" max="8197" width="9.85546875" style="1" customWidth="1"/>
    <col min="8198" max="8199" width="10.5703125" style="1" customWidth="1"/>
    <col min="8200" max="8200" width="0" style="1" hidden="1" customWidth="1"/>
    <col min="8201" max="8201" width="10.7109375" style="1" customWidth="1"/>
    <col min="8202" max="8202" width="12.7109375" style="1" customWidth="1"/>
    <col min="8203" max="8203" width="0" style="1" hidden="1" customWidth="1"/>
    <col min="8204" max="8204" width="14.42578125" style="1" customWidth="1"/>
    <col min="8205" max="8445" width="9" style="1"/>
    <col min="8446" max="8446" width="24.85546875" style="1" customWidth="1"/>
    <col min="8447" max="8447" width="18.28515625" style="1" customWidth="1"/>
    <col min="8448" max="8448" width="12.28515625" style="1" customWidth="1"/>
    <col min="8449" max="8449" width="0" style="1" hidden="1" customWidth="1"/>
    <col min="8450" max="8450" width="9.5703125" style="1" customWidth="1"/>
    <col min="8451" max="8452" width="10.5703125" style="1" customWidth="1"/>
    <col min="8453" max="8453" width="9.85546875" style="1" customWidth="1"/>
    <col min="8454" max="8455" width="10.5703125" style="1" customWidth="1"/>
    <col min="8456" max="8456" width="0" style="1" hidden="1" customWidth="1"/>
    <col min="8457" max="8457" width="10.7109375" style="1" customWidth="1"/>
    <col min="8458" max="8458" width="12.7109375" style="1" customWidth="1"/>
    <col min="8459" max="8459" width="0" style="1" hidden="1" customWidth="1"/>
    <col min="8460" max="8460" width="14.42578125" style="1" customWidth="1"/>
    <col min="8461" max="8701" width="9" style="1"/>
    <col min="8702" max="8702" width="24.85546875" style="1" customWidth="1"/>
    <col min="8703" max="8703" width="18.28515625" style="1" customWidth="1"/>
    <col min="8704" max="8704" width="12.28515625" style="1" customWidth="1"/>
    <col min="8705" max="8705" width="0" style="1" hidden="1" customWidth="1"/>
    <col min="8706" max="8706" width="9.5703125" style="1" customWidth="1"/>
    <col min="8707" max="8708" width="10.5703125" style="1" customWidth="1"/>
    <col min="8709" max="8709" width="9.85546875" style="1" customWidth="1"/>
    <col min="8710" max="8711" width="10.5703125" style="1" customWidth="1"/>
    <col min="8712" max="8712" width="0" style="1" hidden="1" customWidth="1"/>
    <col min="8713" max="8713" width="10.7109375" style="1" customWidth="1"/>
    <col min="8714" max="8714" width="12.7109375" style="1" customWidth="1"/>
    <col min="8715" max="8715" width="0" style="1" hidden="1" customWidth="1"/>
    <col min="8716" max="8716" width="14.42578125" style="1" customWidth="1"/>
    <col min="8717" max="8957" width="9" style="1"/>
    <col min="8958" max="8958" width="24.85546875" style="1" customWidth="1"/>
    <col min="8959" max="8959" width="18.28515625" style="1" customWidth="1"/>
    <col min="8960" max="8960" width="12.28515625" style="1" customWidth="1"/>
    <col min="8961" max="8961" width="0" style="1" hidden="1" customWidth="1"/>
    <col min="8962" max="8962" width="9.5703125" style="1" customWidth="1"/>
    <col min="8963" max="8964" width="10.5703125" style="1" customWidth="1"/>
    <col min="8965" max="8965" width="9.85546875" style="1" customWidth="1"/>
    <col min="8966" max="8967" width="10.5703125" style="1" customWidth="1"/>
    <col min="8968" max="8968" width="0" style="1" hidden="1" customWidth="1"/>
    <col min="8969" max="8969" width="10.7109375" style="1" customWidth="1"/>
    <col min="8970" max="8970" width="12.7109375" style="1" customWidth="1"/>
    <col min="8971" max="8971" width="0" style="1" hidden="1" customWidth="1"/>
    <col min="8972" max="8972" width="14.42578125" style="1" customWidth="1"/>
    <col min="8973" max="9213" width="9" style="1"/>
    <col min="9214" max="9214" width="24.85546875" style="1" customWidth="1"/>
    <col min="9215" max="9215" width="18.28515625" style="1" customWidth="1"/>
    <col min="9216" max="9216" width="12.28515625" style="1" customWidth="1"/>
    <col min="9217" max="9217" width="0" style="1" hidden="1" customWidth="1"/>
    <col min="9218" max="9218" width="9.5703125" style="1" customWidth="1"/>
    <col min="9219" max="9220" width="10.5703125" style="1" customWidth="1"/>
    <col min="9221" max="9221" width="9.85546875" style="1" customWidth="1"/>
    <col min="9222" max="9223" width="10.5703125" style="1" customWidth="1"/>
    <col min="9224" max="9224" width="0" style="1" hidden="1" customWidth="1"/>
    <col min="9225" max="9225" width="10.7109375" style="1" customWidth="1"/>
    <col min="9226" max="9226" width="12.7109375" style="1" customWidth="1"/>
    <col min="9227" max="9227" width="0" style="1" hidden="1" customWidth="1"/>
    <col min="9228" max="9228" width="14.42578125" style="1" customWidth="1"/>
    <col min="9229" max="9469" width="9" style="1"/>
    <col min="9470" max="9470" width="24.85546875" style="1" customWidth="1"/>
    <col min="9471" max="9471" width="18.28515625" style="1" customWidth="1"/>
    <col min="9472" max="9472" width="12.28515625" style="1" customWidth="1"/>
    <col min="9473" max="9473" width="0" style="1" hidden="1" customWidth="1"/>
    <col min="9474" max="9474" width="9.5703125" style="1" customWidth="1"/>
    <col min="9475" max="9476" width="10.5703125" style="1" customWidth="1"/>
    <col min="9477" max="9477" width="9.85546875" style="1" customWidth="1"/>
    <col min="9478" max="9479" width="10.5703125" style="1" customWidth="1"/>
    <col min="9480" max="9480" width="0" style="1" hidden="1" customWidth="1"/>
    <col min="9481" max="9481" width="10.7109375" style="1" customWidth="1"/>
    <col min="9482" max="9482" width="12.7109375" style="1" customWidth="1"/>
    <col min="9483" max="9483" width="0" style="1" hidden="1" customWidth="1"/>
    <col min="9484" max="9484" width="14.42578125" style="1" customWidth="1"/>
    <col min="9485" max="9725" width="9" style="1"/>
    <col min="9726" max="9726" width="24.85546875" style="1" customWidth="1"/>
    <col min="9727" max="9727" width="18.28515625" style="1" customWidth="1"/>
    <col min="9728" max="9728" width="12.28515625" style="1" customWidth="1"/>
    <col min="9729" max="9729" width="0" style="1" hidden="1" customWidth="1"/>
    <col min="9730" max="9730" width="9.5703125" style="1" customWidth="1"/>
    <col min="9731" max="9732" width="10.5703125" style="1" customWidth="1"/>
    <col min="9733" max="9733" width="9.85546875" style="1" customWidth="1"/>
    <col min="9734" max="9735" width="10.5703125" style="1" customWidth="1"/>
    <col min="9736" max="9736" width="0" style="1" hidden="1" customWidth="1"/>
    <col min="9737" max="9737" width="10.7109375" style="1" customWidth="1"/>
    <col min="9738" max="9738" width="12.7109375" style="1" customWidth="1"/>
    <col min="9739" max="9739" width="0" style="1" hidden="1" customWidth="1"/>
    <col min="9740" max="9740" width="14.42578125" style="1" customWidth="1"/>
    <col min="9741" max="9981" width="9" style="1"/>
    <col min="9982" max="9982" width="24.85546875" style="1" customWidth="1"/>
    <col min="9983" max="9983" width="18.28515625" style="1" customWidth="1"/>
    <col min="9984" max="9984" width="12.28515625" style="1" customWidth="1"/>
    <col min="9985" max="9985" width="0" style="1" hidden="1" customWidth="1"/>
    <col min="9986" max="9986" width="9.5703125" style="1" customWidth="1"/>
    <col min="9987" max="9988" width="10.5703125" style="1" customWidth="1"/>
    <col min="9989" max="9989" width="9.85546875" style="1" customWidth="1"/>
    <col min="9990" max="9991" width="10.5703125" style="1" customWidth="1"/>
    <col min="9992" max="9992" width="0" style="1" hidden="1" customWidth="1"/>
    <col min="9993" max="9993" width="10.7109375" style="1" customWidth="1"/>
    <col min="9994" max="9994" width="12.7109375" style="1" customWidth="1"/>
    <col min="9995" max="9995" width="0" style="1" hidden="1" customWidth="1"/>
    <col min="9996" max="9996" width="14.42578125" style="1" customWidth="1"/>
    <col min="9997" max="10237" width="9" style="1"/>
    <col min="10238" max="10238" width="24.85546875" style="1" customWidth="1"/>
    <col min="10239" max="10239" width="18.28515625" style="1" customWidth="1"/>
    <col min="10240" max="10240" width="12.28515625" style="1" customWidth="1"/>
    <col min="10241" max="10241" width="0" style="1" hidden="1" customWidth="1"/>
    <col min="10242" max="10242" width="9.5703125" style="1" customWidth="1"/>
    <col min="10243" max="10244" width="10.5703125" style="1" customWidth="1"/>
    <col min="10245" max="10245" width="9.85546875" style="1" customWidth="1"/>
    <col min="10246" max="10247" width="10.5703125" style="1" customWidth="1"/>
    <col min="10248" max="10248" width="0" style="1" hidden="1" customWidth="1"/>
    <col min="10249" max="10249" width="10.7109375" style="1" customWidth="1"/>
    <col min="10250" max="10250" width="12.7109375" style="1" customWidth="1"/>
    <col min="10251" max="10251" width="0" style="1" hidden="1" customWidth="1"/>
    <col min="10252" max="10252" width="14.42578125" style="1" customWidth="1"/>
    <col min="10253" max="10493" width="9" style="1"/>
    <col min="10494" max="10494" width="24.85546875" style="1" customWidth="1"/>
    <col min="10495" max="10495" width="18.28515625" style="1" customWidth="1"/>
    <col min="10496" max="10496" width="12.28515625" style="1" customWidth="1"/>
    <col min="10497" max="10497" width="0" style="1" hidden="1" customWidth="1"/>
    <col min="10498" max="10498" width="9.5703125" style="1" customWidth="1"/>
    <col min="10499" max="10500" width="10.5703125" style="1" customWidth="1"/>
    <col min="10501" max="10501" width="9.85546875" style="1" customWidth="1"/>
    <col min="10502" max="10503" width="10.5703125" style="1" customWidth="1"/>
    <col min="10504" max="10504" width="0" style="1" hidden="1" customWidth="1"/>
    <col min="10505" max="10505" width="10.7109375" style="1" customWidth="1"/>
    <col min="10506" max="10506" width="12.7109375" style="1" customWidth="1"/>
    <col min="10507" max="10507" width="0" style="1" hidden="1" customWidth="1"/>
    <col min="10508" max="10508" width="14.42578125" style="1" customWidth="1"/>
    <col min="10509" max="10749" width="9" style="1"/>
    <col min="10750" max="10750" width="24.85546875" style="1" customWidth="1"/>
    <col min="10751" max="10751" width="18.28515625" style="1" customWidth="1"/>
    <col min="10752" max="10752" width="12.28515625" style="1" customWidth="1"/>
    <col min="10753" max="10753" width="0" style="1" hidden="1" customWidth="1"/>
    <col min="10754" max="10754" width="9.5703125" style="1" customWidth="1"/>
    <col min="10755" max="10756" width="10.5703125" style="1" customWidth="1"/>
    <col min="10757" max="10757" width="9.85546875" style="1" customWidth="1"/>
    <col min="10758" max="10759" width="10.5703125" style="1" customWidth="1"/>
    <col min="10760" max="10760" width="0" style="1" hidden="1" customWidth="1"/>
    <col min="10761" max="10761" width="10.7109375" style="1" customWidth="1"/>
    <col min="10762" max="10762" width="12.7109375" style="1" customWidth="1"/>
    <col min="10763" max="10763" width="0" style="1" hidden="1" customWidth="1"/>
    <col min="10764" max="10764" width="14.42578125" style="1" customWidth="1"/>
    <col min="10765" max="11005" width="9" style="1"/>
    <col min="11006" max="11006" width="24.85546875" style="1" customWidth="1"/>
    <col min="11007" max="11007" width="18.28515625" style="1" customWidth="1"/>
    <col min="11008" max="11008" width="12.28515625" style="1" customWidth="1"/>
    <col min="11009" max="11009" width="0" style="1" hidden="1" customWidth="1"/>
    <col min="11010" max="11010" width="9.5703125" style="1" customWidth="1"/>
    <col min="11011" max="11012" width="10.5703125" style="1" customWidth="1"/>
    <col min="11013" max="11013" width="9.85546875" style="1" customWidth="1"/>
    <col min="11014" max="11015" width="10.5703125" style="1" customWidth="1"/>
    <col min="11016" max="11016" width="0" style="1" hidden="1" customWidth="1"/>
    <col min="11017" max="11017" width="10.7109375" style="1" customWidth="1"/>
    <col min="11018" max="11018" width="12.7109375" style="1" customWidth="1"/>
    <col min="11019" max="11019" width="0" style="1" hidden="1" customWidth="1"/>
    <col min="11020" max="11020" width="14.42578125" style="1" customWidth="1"/>
    <col min="11021" max="11261" width="9" style="1"/>
    <col min="11262" max="11262" width="24.85546875" style="1" customWidth="1"/>
    <col min="11263" max="11263" width="18.28515625" style="1" customWidth="1"/>
    <col min="11264" max="11264" width="12.28515625" style="1" customWidth="1"/>
    <col min="11265" max="11265" width="0" style="1" hidden="1" customWidth="1"/>
    <col min="11266" max="11266" width="9.5703125" style="1" customWidth="1"/>
    <col min="11267" max="11268" width="10.5703125" style="1" customWidth="1"/>
    <col min="11269" max="11269" width="9.85546875" style="1" customWidth="1"/>
    <col min="11270" max="11271" width="10.5703125" style="1" customWidth="1"/>
    <col min="11272" max="11272" width="0" style="1" hidden="1" customWidth="1"/>
    <col min="11273" max="11273" width="10.7109375" style="1" customWidth="1"/>
    <col min="11274" max="11274" width="12.7109375" style="1" customWidth="1"/>
    <col min="11275" max="11275" width="0" style="1" hidden="1" customWidth="1"/>
    <col min="11276" max="11276" width="14.42578125" style="1" customWidth="1"/>
    <col min="11277" max="11517" width="9" style="1"/>
    <col min="11518" max="11518" width="24.85546875" style="1" customWidth="1"/>
    <col min="11519" max="11519" width="18.28515625" style="1" customWidth="1"/>
    <col min="11520" max="11520" width="12.28515625" style="1" customWidth="1"/>
    <col min="11521" max="11521" width="0" style="1" hidden="1" customWidth="1"/>
    <col min="11522" max="11522" width="9.5703125" style="1" customWidth="1"/>
    <col min="11523" max="11524" width="10.5703125" style="1" customWidth="1"/>
    <col min="11525" max="11525" width="9.85546875" style="1" customWidth="1"/>
    <col min="11526" max="11527" width="10.5703125" style="1" customWidth="1"/>
    <col min="11528" max="11528" width="0" style="1" hidden="1" customWidth="1"/>
    <col min="11529" max="11529" width="10.7109375" style="1" customWidth="1"/>
    <col min="11530" max="11530" width="12.7109375" style="1" customWidth="1"/>
    <col min="11531" max="11531" width="0" style="1" hidden="1" customWidth="1"/>
    <col min="11532" max="11532" width="14.42578125" style="1" customWidth="1"/>
    <col min="11533" max="11773" width="9" style="1"/>
    <col min="11774" max="11774" width="24.85546875" style="1" customWidth="1"/>
    <col min="11775" max="11775" width="18.28515625" style="1" customWidth="1"/>
    <col min="11776" max="11776" width="12.28515625" style="1" customWidth="1"/>
    <col min="11777" max="11777" width="0" style="1" hidden="1" customWidth="1"/>
    <col min="11778" max="11778" width="9.5703125" style="1" customWidth="1"/>
    <col min="11779" max="11780" width="10.5703125" style="1" customWidth="1"/>
    <col min="11781" max="11781" width="9.85546875" style="1" customWidth="1"/>
    <col min="11782" max="11783" width="10.5703125" style="1" customWidth="1"/>
    <col min="11784" max="11784" width="0" style="1" hidden="1" customWidth="1"/>
    <col min="11785" max="11785" width="10.7109375" style="1" customWidth="1"/>
    <col min="11786" max="11786" width="12.7109375" style="1" customWidth="1"/>
    <col min="11787" max="11787" width="0" style="1" hidden="1" customWidth="1"/>
    <col min="11788" max="11788" width="14.42578125" style="1" customWidth="1"/>
    <col min="11789" max="12029" width="9" style="1"/>
    <col min="12030" max="12030" width="24.85546875" style="1" customWidth="1"/>
    <col min="12031" max="12031" width="18.28515625" style="1" customWidth="1"/>
    <col min="12032" max="12032" width="12.28515625" style="1" customWidth="1"/>
    <col min="12033" max="12033" width="0" style="1" hidden="1" customWidth="1"/>
    <col min="12034" max="12034" width="9.5703125" style="1" customWidth="1"/>
    <col min="12035" max="12036" width="10.5703125" style="1" customWidth="1"/>
    <col min="12037" max="12037" width="9.85546875" style="1" customWidth="1"/>
    <col min="12038" max="12039" width="10.5703125" style="1" customWidth="1"/>
    <col min="12040" max="12040" width="0" style="1" hidden="1" customWidth="1"/>
    <col min="12041" max="12041" width="10.7109375" style="1" customWidth="1"/>
    <col min="12042" max="12042" width="12.7109375" style="1" customWidth="1"/>
    <col min="12043" max="12043" width="0" style="1" hidden="1" customWidth="1"/>
    <col min="12044" max="12044" width="14.42578125" style="1" customWidth="1"/>
    <col min="12045" max="12285" width="9" style="1"/>
    <col min="12286" max="12286" width="24.85546875" style="1" customWidth="1"/>
    <col min="12287" max="12287" width="18.28515625" style="1" customWidth="1"/>
    <col min="12288" max="12288" width="12.28515625" style="1" customWidth="1"/>
    <col min="12289" max="12289" width="0" style="1" hidden="1" customWidth="1"/>
    <col min="12290" max="12290" width="9.5703125" style="1" customWidth="1"/>
    <col min="12291" max="12292" width="10.5703125" style="1" customWidth="1"/>
    <col min="12293" max="12293" width="9.85546875" style="1" customWidth="1"/>
    <col min="12294" max="12295" width="10.5703125" style="1" customWidth="1"/>
    <col min="12296" max="12296" width="0" style="1" hidden="1" customWidth="1"/>
    <col min="12297" max="12297" width="10.7109375" style="1" customWidth="1"/>
    <col min="12298" max="12298" width="12.7109375" style="1" customWidth="1"/>
    <col min="12299" max="12299" width="0" style="1" hidden="1" customWidth="1"/>
    <col min="12300" max="12300" width="14.42578125" style="1" customWidth="1"/>
    <col min="12301" max="12541" width="9" style="1"/>
    <col min="12542" max="12542" width="24.85546875" style="1" customWidth="1"/>
    <col min="12543" max="12543" width="18.28515625" style="1" customWidth="1"/>
    <col min="12544" max="12544" width="12.28515625" style="1" customWidth="1"/>
    <col min="12545" max="12545" width="0" style="1" hidden="1" customWidth="1"/>
    <col min="12546" max="12546" width="9.5703125" style="1" customWidth="1"/>
    <col min="12547" max="12548" width="10.5703125" style="1" customWidth="1"/>
    <col min="12549" max="12549" width="9.85546875" style="1" customWidth="1"/>
    <col min="12550" max="12551" width="10.5703125" style="1" customWidth="1"/>
    <col min="12552" max="12552" width="0" style="1" hidden="1" customWidth="1"/>
    <col min="12553" max="12553" width="10.7109375" style="1" customWidth="1"/>
    <col min="12554" max="12554" width="12.7109375" style="1" customWidth="1"/>
    <col min="12555" max="12555" width="0" style="1" hidden="1" customWidth="1"/>
    <col min="12556" max="12556" width="14.42578125" style="1" customWidth="1"/>
    <col min="12557" max="12797" width="9" style="1"/>
    <col min="12798" max="12798" width="24.85546875" style="1" customWidth="1"/>
    <col min="12799" max="12799" width="18.28515625" style="1" customWidth="1"/>
    <col min="12800" max="12800" width="12.28515625" style="1" customWidth="1"/>
    <col min="12801" max="12801" width="0" style="1" hidden="1" customWidth="1"/>
    <col min="12802" max="12802" width="9.5703125" style="1" customWidth="1"/>
    <col min="12803" max="12804" width="10.5703125" style="1" customWidth="1"/>
    <col min="12805" max="12805" width="9.85546875" style="1" customWidth="1"/>
    <col min="12806" max="12807" width="10.5703125" style="1" customWidth="1"/>
    <col min="12808" max="12808" width="0" style="1" hidden="1" customWidth="1"/>
    <col min="12809" max="12809" width="10.7109375" style="1" customWidth="1"/>
    <col min="12810" max="12810" width="12.7109375" style="1" customWidth="1"/>
    <col min="12811" max="12811" width="0" style="1" hidden="1" customWidth="1"/>
    <col min="12812" max="12812" width="14.42578125" style="1" customWidth="1"/>
    <col min="12813" max="13053" width="9" style="1"/>
    <col min="13054" max="13054" width="24.85546875" style="1" customWidth="1"/>
    <col min="13055" max="13055" width="18.28515625" style="1" customWidth="1"/>
    <col min="13056" max="13056" width="12.28515625" style="1" customWidth="1"/>
    <col min="13057" max="13057" width="0" style="1" hidden="1" customWidth="1"/>
    <col min="13058" max="13058" width="9.5703125" style="1" customWidth="1"/>
    <col min="13059" max="13060" width="10.5703125" style="1" customWidth="1"/>
    <col min="13061" max="13061" width="9.85546875" style="1" customWidth="1"/>
    <col min="13062" max="13063" width="10.5703125" style="1" customWidth="1"/>
    <col min="13064" max="13064" width="0" style="1" hidden="1" customWidth="1"/>
    <col min="13065" max="13065" width="10.7109375" style="1" customWidth="1"/>
    <col min="13066" max="13066" width="12.7109375" style="1" customWidth="1"/>
    <col min="13067" max="13067" width="0" style="1" hidden="1" customWidth="1"/>
    <col min="13068" max="13068" width="14.42578125" style="1" customWidth="1"/>
    <col min="13069" max="13309" width="9" style="1"/>
    <col min="13310" max="13310" width="24.85546875" style="1" customWidth="1"/>
    <col min="13311" max="13311" width="18.28515625" style="1" customWidth="1"/>
    <col min="13312" max="13312" width="12.28515625" style="1" customWidth="1"/>
    <col min="13313" max="13313" width="0" style="1" hidden="1" customWidth="1"/>
    <col min="13314" max="13314" width="9.5703125" style="1" customWidth="1"/>
    <col min="13315" max="13316" width="10.5703125" style="1" customWidth="1"/>
    <col min="13317" max="13317" width="9.85546875" style="1" customWidth="1"/>
    <col min="13318" max="13319" width="10.5703125" style="1" customWidth="1"/>
    <col min="13320" max="13320" width="0" style="1" hidden="1" customWidth="1"/>
    <col min="13321" max="13321" width="10.7109375" style="1" customWidth="1"/>
    <col min="13322" max="13322" width="12.7109375" style="1" customWidth="1"/>
    <col min="13323" max="13323" width="0" style="1" hidden="1" customWidth="1"/>
    <col min="13324" max="13324" width="14.42578125" style="1" customWidth="1"/>
    <col min="13325" max="13565" width="9" style="1"/>
    <col min="13566" max="13566" width="24.85546875" style="1" customWidth="1"/>
    <col min="13567" max="13567" width="18.28515625" style="1" customWidth="1"/>
    <col min="13568" max="13568" width="12.28515625" style="1" customWidth="1"/>
    <col min="13569" max="13569" width="0" style="1" hidden="1" customWidth="1"/>
    <col min="13570" max="13570" width="9.5703125" style="1" customWidth="1"/>
    <col min="13571" max="13572" width="10.5703125" style="1" customWidth="1"/>
    <col min="13573" max="13573" width="9.85546875" style="1" customWidth="1"/>
    <col min="13574" max="13575" width="10.5703125" style="1" customWidth="1"/>
    <col min="13576" max="13576" width="0" style="1" hidden="1" customWidth="1"/>
    <col min="13577" max="13577" width="10.7109375" style="1" customWidth="1"/>
    <col min="13578" max="13578" width="12.7109375" style="1" customWidth="1"/>
    <col min="13579" max="13579" width="0" style="1" hidden="1" customWidth="1"/>
    <col min="13580" max="13580" width="14.42578125" style="1" customWidth="1"/>
    <col min="13581" max="13821" width="9" style="1"/>
    <col min="13822" max="13822" width="24.85546875" style="1" customWidth="1"/>
    <col min="13823" max="13823" width="18.28515625" style="1" customWidth="1"/>
    <col min="13824" max="13824" width="12.28515625" style="1" customWidth="1"/>
    <col min="13825" max="13825" width="0" style="1" hidden="1" customWidth="1"/>
    <col min="13826" max="13826" width="9.5703125" style="1" customWidth="1"/>
    <col min="13827" max="13828" width="10.5703125" style="1" customWidth="1"/>
    <col min="13829" max="13829" width="9.85546875" style="1" customWidth="1"/>
    <col min="13830" max="13831" width="10.5703125" style="1" customWidth="1"/>
    <col min="13832" max="13832" width="0" style="1" hidden="1" customWidth="1"/>
    <col min="13833" max="13833" width="10.7109375" style="1" customWidth="1"/>
    <col min="13834" max="13834" width="12.7109375" style="1" customWidth="1"/>
    <col min="13835" max="13835" width="0" style="1" hidden="1" customWidth="1"/>
    <col min="13836" max="13836" width="14.42578125" style="1" customWidth="1"/>
    <col min="13837" max="14077" width="9" style="1"/>
    <col min="14078" max="14078" width="24.85546875" style="1" customWidth="1"/>
    <col min="14079" max="14079" width="18.28515625" style="1" customWidth="1"/>
    <col min="14080" max="14080" width="12.28515625" style="1" customWidth="1"/>
    <col min="14081" max="14081" width="0" style="1" hidden="1" customWidth="1"/>
    <col min="14082" max="14082" width="9.5703125" style="1" customWidth="1"/>
    <col min="14083" max="14084" width="10.5703125" style="1" customWidth="1"/>
    <col min="14085" max="14085" width="9.85546875" style="1" customWidth="1"/>
    <col min="14086" max="14087" width="10.5703125" style="1" customWidth="1"/>
    <col min="14088" max="14088" width="0" style="1" hidden="1" customWidth="1"/>
    <col min="14089" max="14089" width="10.7109375" style="1" customWidth="1"/>
    <col min="14090" max="14090" width="12.7109375" style="1" customWidth="1"/>
    <col min="14091" max="14091" width="0" style="1" hidden="1" customWidth="1"/>
    <col min="14092" max="14092" width="14.42578125" style="1" customWidth="1"/>
    <col min="14093" max="14333" width="9" style="1"/>
    <col min="14334" max="14334" width="24.85546875" style="1" customWidth="1"/>
    <col min="14335" max="14335" width="18.28515625" style="1" customWidth="1"/>
    <col min="14336" max="14336" width="12.28515625" style="1" customWidth="1"/>
    <col min="14337" max="14337" width="0" style="1" hidden="1" customWidth="1"/>
    <col min="14338" max="14338" width="9.5703125" style="1" customWidth="1"/>
    <col min="14339" max="14340" width="10.5703125" style="1" customWidth="1"/>
    <col min="14341" max="14341" width="9.85546875" style="1" customWidth="1"/>
    <col min="14342" max="14343" width="10.5703125" style="1" customWidth="1"/>
    <col min="14344" max="14344" width="0" style="1" hidden="1" customWidth="1"/>
    <col min="14345" max="14345" width="10.7109375" style="1" customWidth="1"/>
    <col min="14346" max="14346" width="12.7109375" style="1" customWidth="1"/>
    <col min="14347" max="14347" width="0" style="1" hidden="1" customWidth="1"/>
    <col min="14348" max="14348" width="14.42578125" style="1" customWidth="1"/>
    <col min="14349" max="14589" width="9" style="1"/>
    <col min="14590" max="14590" width="24.85546875" style="1" customWidth="1"/>
    <col min="14591" max="14591" width="18.28515625" style="1" customWidth="1"/>
    <col min="14592" max="14592" width="12.28515625" style="1" customWidth="1"/>
    <col min="14593" max="14593" width="0" style="1" hidden="1" customWidth="1"/>
    <col min="14594" max="14594" width="9.5703125" style="1" customWidth="1"/>
    <col min="14595" max="14596" width="10.5703125" style="1" customWidth="1"/>
    <col min="14597" max="14597" width="9.85546875" style="1" customWidth="1"/>
    <col min="14598" max="14599" width="10.5703125" style="1" customWidth="1"/>
    <col min="14600" max="14600" width="0" style="1" hidden="1" customWidth="1"/>
    <col min="14601" max="14601" width="10.7109375" style="1" customWidth="1"/>
    <col min="14602" max="14602" width="12.7109375" style="1" customWidth="1"/>
    <col min="14603" max="14603" width="0" style="1" hidden="1" customWidth="1"/>
    <col min="14604" max="14604" width="14.42578125" style="1" customWidth="1"/>
    <col min="14605" max="14845" width="9" style="1"/>
    <col min="14846" max="14846" width="24.85546875" style="1" customWidth="1"/>
    <col min="14847" max="14847" width="18.28515625" style="1" customWidth="1"/>
    <col min="14848" max="14848" width="12.28515625" style="1" customWidth="1"/>
    <col min="14849" max="14849" width="0" style="1" hidden="1" customWidth="1"/>
    <col min="14850" max="14850" width="9.5703125" style="1" customWidth="1"/>
    <col min="14851" max="14852" width="10.5703125" style="1" customWidth="1"/>
    <col min="14853" max="14853" width="9.85546875" style="1" customWidth="1"/>
    <col min="14854" max="14855" width="10.5703125" style="1" customWidth="1"/>
    <col min="14856" max="14856" width="0" style="1" hidden="1" customWidth="1"/>
    <col min="14857" max="14857" width="10.7109375" style="1" customWidth="1"/>
    <col min="14858" max="14858" width="12.7109375" style="1" customWidth="1"/>
    <col min="14859" max="14859" width="0" style="1" hidden="1" customWidth="1"/>
    <col min="14860" max="14860" width="14.42578125" style="1" customWidth="1"/>
    <col min="14861" max="15101" width="9" style="1"/>
    <col min="15102" max="15102" width="24.85546875" style="1" customWidth="1"/>
    <col min="15103" max="15103" width="18.28515625" style="1" customWidth="1"/>
    <col min="15104" max="15104" width="12.28515625" style="1" customWidth="1"/>
    <col min="15105" max="15105" width="0" style="1" hidden="1" customWidth="1"/>
    <col min="15106" max="15106" width="9.5703125" style="1" customWidth="1"/>
    <col min="15107" max="15108" width="10.5703125" style="1" customWidth="1"/>
    <col min="15109" max="15109" width="9.85546875" style="1" customWidth="1"/>
    <col min="15110" max="15111" width="10.5703125" style="1" customWidth="1"/>
    <col min="15112" max="15112" width="0" style="1" hidden="1" customWidth="1"/>
    <col min="15113" max="15113" width="10.7109375" style="1" customWidth="1"/>
    <col min="15114" max="15114" width="12.7109375" style="1" customWidth="1"/>
    <col min="15115" max="15115" width="0" style="1" hidden="1" customWidth="1"/>
    <col min="15116" max="15116" width="14.42578125" style="1" customWidth="1"/>
    <col min="15117" max="15357" width="9" style="1"/>
    <col min="15358" max="15358" width="24.85546875" style="1" customWidth="1"/>
    <col min="15359" max="15359" width="18.28515625" style="1" customWidth="1"/>
    <col min="15360" max="15360" width="12.28515625" style="1" customWidth="1"/>
    <col min="15361" max="15361" width="0" style="1" hidden="1" customWidth="1"/>
    <col min="15362" max="15362" width="9.5703125" style="1" customWidth="1"/>
    <col min="15363" max="15364" width="10.5703125" style="1" customWidth="1"/>
    <col min="15365" max="15365" width="9.85546875" style="1" customWidth="1"/>
    <col min="15366" max="15367" width="10.5703125" style="1" customWidth="1"/>
    <col min="15368" max="15368" width="0" style="1" hidden="1" customWidth="1"/>
    <col min="15369" max="15369" width="10.7109375" style="1" customWidth="1"/>
    <col min="15370" max="15370" width="12.7109375" style="1" customWidth="1"/>
    <col min="15371" max="15371" width="0" style="1" hidden="1" customWidth="1"/>
    <col min="15372" max="15372" width="14.42578125" style="1" customWidth="1"/>
    <col min="15373" max="15613" width="9" style="1"/>
    <col min="15614" max="15614" width="24.85546875" style="1" customWidth="1"/>
    <col min="15615" max="15615" width="18.28515625" style="1" customWidth="1"/>
    <col min="15616" max="15616" width="12.28515625" style="1" customWidth="1"/>
    <col min="15617" max="15617" width="0" style="1" hidden="1" customWidth="1"/>
    <col min="15618" max="15618" width="9.5703125" style="1" customWidth="1"/>
    <col min="15619" max="15620" width="10.5703125" style="1" customWidth="1"/>
    <col min="15621" max="15621" width="9.85546875" style="1" customWidth="1"/>
    <col min="15622" max="15623" width="10.5703125" style="1" customWidth="1"/>
    <col min="15624" max="15624" width="0" style="1" hidden="1" customWidth="1"/>
    <col min="15625" max="15625" width="10.7109375" style="1" customWidth="1"/>
    <col min="15626" max="15626" width="12.7109375" style="1" customWidth="1"/>
    <col min="15627" max="15627" width="0" style="1" hidden="1" customWidth="1"/>
    <col min="15628" max="15628" width="14.42578125" style="1" customWidth="1"/>
    <col min="15629" max="15869" width="9" style="1"/>
    <col min="15870" max="15870" width="24.85546875" style="1" customWidth="1"/>
    <col min="15871" max="15871" width="18.28515625" style="1" customWidth="1"/>
    <col min="15872" max="15872" width="12.28515625" style="1" customWidth="1"/>
    <col min="15873" max="15873" width="0" style="1" hidden="1" customWidth="1"/>
    <col min="15874" max="15874" width="9.5703125" style="1" customWidth="1"/>
    <col min="15875" max="15876" width="10.5703125" style="1" customWidth="1"/>
    <col min="15877" max="15877" width="9.85546875" style="1" customWidth="1"/>
    <col min="15878" max="15879" width="10.5703125" style="1" customWidth="1"/>
    <col min="15880" max="15880" width="0" style="1" hidden="1" customWidth="1"/>
    <col min="15881" max="15881" width="10.7109375" style="1" customWidth="1"/>
    <col min="15882" max="15882" width="12.7109375" style="1" customWidth="1"/>
    <col min="15883" max="15883" width="0" style="1" hidden="1" customWidth="1"/>
    <col min="15884" max="15884" width="14.42578125" style="1" customWidth="1"/>
    <col min="15885" max="16125" width="9" style="1"/>
    <col min="16126" max="16126" width="24.85546875" style="1" customWidth="1"/>
    <col min="16127" max="16127" width="18.28515625" style="1" customWidth="1"/>
    <col min="16128" max="16128" width="12.28515625" style="1" customWidth="1"/>
    <col min="16129" max="16129" width="0" style="1" hidden="1" customWidth="1"/>
    <col min="16130" max="16130" width="9.5703125" style="1" customWidth="1"/>
    <col min="16131" max="16132" width="10.5703125" style="1" customWidth="1"/>
    <col min="16133" max="16133" width="9.85546875" style="1" customWidth="1"/>
    <col min="16134" max="16135" width="10.5703125" style="1" customWidth="1"/>
    <col min="16136" max="16136" width="0" style="1" hidden="1" customWidth="1"/>
    <col min="16137" max="16137" width="10.7109375" style="1" customWidth="1"/>
    <col min="16138" max="16138" width="12.7109375" style="1" customWidth="1"/>
    <col min="16139" max="16139" width="0" style="1" hidden="1" customWidth="1"/>
    <col min="16140" max="16140" width="14.42578125" style="1" customWidth="1"/>
    <col min="16141" max="16384" width="9" style="1"/>
  </cols>
  <sheetData>
    <row r="1" spans="1:12" s="74" customFormat="1" ht="20.100000000000001" customHeight="1" x14ac:dyDescent="0.25">
      <c r="A1" s="200" t="s">
        <v>0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</row>
    <row r="2" spans="1:12" s="74" customFormat="1" ht="20.100000000000001" customHeight="1" x14ac:dyDescent="0.25">
      <c r="A2" s="200" t="s">
        <v>44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</row>
    <row r="3" spans="1:12" ht="13.5" customHeight="1" x14ac:dyDescent="0.2">
      <c r="A3" s="29"/>
      <c r="B3" s="65"/>
      <c r="C3" s="65"/>
      <c r="D3" s="66"/>
      <c r="E3" s="65"/>
      <c r="F3" s="65"/>
      <c r="G3" s="66"/>
      <c r="H3" s="65"/>
      <c r="I3" s="65"/>
      <c r="J3" s="66"/>
      <c r="K3" s="65"/>
      <c r="L3" s="30" t="s">
        <v>1</v>
      </c>
    </row>
    <row r="4" spans="1:12" s="2" customFormat="1" ht="30" customHeight="1" x14ac:dyDescent="0.2">
      <c r="A4" s="31"/>
      <c r="B4" s="32" t="s">
        <v>33</v>
      </c>
      <c r="C4" s="33" t="s">
        <v>34</v>
      </c>
      <c r="D4" s="33" t="s">
        <v>45</v>
      </c>
      <c r="E4" s="33" t="s">
        <v>7</v>
      </c>
      <c r="F4" s="33" t="s">
        <v>36</v>
      </c>
      <c r="G4" s="33" t="s">
        <v>46</v>
      </c>
      <c r="H4" s="33" t="s">
        <v>10</v>
      </c>
      <c r="I4" s="33" t="s">
        <v>11</v>
      </c>
      <c r="J4" s="33" t="s">
        <v>47</v>
      </c>
      <c r="K4" s="33" t="s">
        <v>13</v>
      </c>
      <c r="L4" s="34" t="s">
        <v>15</v>
      </c>
    </row>
    <row r="5" spans="1:12" ht="21" customHeight="1" x14ac:dyDescent="0.2">
      <c r="A5" s="67" t="s">
        <v>16</v>
      </c>
      <c r="B5" s="75"/>
      <c r="C5" s="75"/>
      <c r="D5" s="75"/>
      <c r="E5" s="76"/>
      <c r="F5" s="76"/>
      <c r="G5" s="77"/>
      <c r="H5" s="78"/>
      <c r="I5" s="78"/>
      <c r="J5" s="78"/>
      <c r="K5" s="78"/>
      <c r="L5" s="39"/>
    </row>
    <row r="6" spans="1:12" ht="17.25" customHeight="1" x14ac:dyDescent="0.2">
      <c r="A6" s="68" t="s">
        <v>17</v>
      </c>
      <c r="B6" s="40">
        <v>2685394</v>
      </c>
      <c r="C6" s="79">
        <v>6048912.5250000004</v>
      </c>
      <c r="D6" s="79">
        <v>5442.348</v>
      </c>
      <c r="E6" s="40">
        <v>186724.24100000001</v>
      </c>
      <c r="F6" s="40">
        <v>635391.29599999997</v>
      </c>
      <c r="G6" s="79">
        <v>4342.3140000000003</v>
      </c>
      <c r="H6" s="79">
        <v>337613.391</v>
      </c>
      <c r="I6" s="79">
        <v>184796.34700000001</v>
      </c>
      <c r="J6" s="40">
        <v>17371</v>
      </c>
      <c r="K6" s="79">
        <v>3792255.5970000001</v>
      </c>
      <c r="L6" s="43">
        <f>SUM(B6:K6)</f>
        <v>13898243.059</v>
      </c>
    </row>
    <row r="7" spans="1:12" ht="17.25" customHeight="1" x14ac:dyDescent="0.2">
      <c r="A7" s="68" t="s">
        <v>18</v>
      </c>
      <c r="B7" s="40">
        <v>122746</v>
      </c>
      <c r="C7" s="79">
        <v>48140.199000000001</v>
      </c>
      <c r="D7" s="79">
        <v>254.08799999999999</v>
      </c>
      <c r="E7" s="40">
        <v>2352.0140000000001</v>
      </c>
      <c r="F7" s="40">
        <v>54064.057000000001</v>
      </c>
      <c r="G7" s="79">
        <v>726.24</v>
      </c>
      <c r="H7" s="79">
        <v>0</v>
      </c>
      <c r="I7" s="79">
        <v>29577.864000000001</v>
      </c>
      <c r="J7" s="40">
        <v>967</v>
      </c>
      <c r="K7" s="79">
        <v>101167.26700000001</v>
      </c>
      <c r="L7" s="43">
        <f>SUM(B7:K7)</f>
        <v>359994.72899999999</v>
      </c>
    </row>
    <row r="8" spans="1:12" ht="17.25" customHeight="1" x14ac:dyDescent="0.2">
      <c r="A8" s="68" t="s">
        <v>19</v>
      </c>
      <c r="B8" s="44">
        <f>B6-B7</f>
        <v>2562648</v>
      </c>
      <c r="C8" s="44">
        <f>C6-C7</f>
        <v>6000772.3260000004</v>
      </c>
      <c r="D8" s="44">
        <f>D6-D7</f>
        <v>5188.26</v>
      </c>
      <c r="E8" s="44">
        <f>E6-E7</f>
        <v>184372.22700000001</v>
      </c>
      <c r="F8" s="44">
        <f>(F6-F7)</f>
        <v>581327.23899999994</v>
      </c>
      <c r="G8" s="44">
        <f>G6-G7</f>
        <v>3616.0740000000005</v>
      </c>
      <c r="H8" s="44">
        <f>H6-H7</f>
        <v>337613.391</v>
      </c>
      <c r="I8" s="44">
        <f>(I6-I7)</f>
        <v>155218.48300000001</v>
      </c>
      <c r="J8" s="44">
        <f>(J6-J7)</f>
        <v>16404</v>
      </c>
      <c r="K8" s="44">
        <f>(K6-K7)</f>
        <v>3691088.33</v>
      </c>
      <c r="L8" s="43">
        <f>SUM(B8:K8)</f>
        <v>13538248.33</v>
      </c>
    </row>
    <row r="9" spans="1:12" ht="25.5" customHeight="1" x14ac:dyDescent="0.2">
      <c r="A9" s="68" t="s">
        <v>20</v>
      </c>
      <c r="B9" s="40">
        <v>1884113</v>
      </c>
      <c r="C9" s="79">
        <v>2573966.6150000002</v>
      </c>
      <c r="D9" s="79">
        <v>3220.0880000000002</v>
      </c>
      <c r="E9" s="40">
        <v>70579.048999999999</v>
      </c>
      <c r="F9" s="40">
        <v>135181.753</v>
      </c>
      <c r="G9" s="79">
        <v>4188.8029999999999</v>
      </c>
      <c r="H9" s="79">
        <v>242395.611</v>
      </c>
      <c r="I9" s="79">
        <v>31030.067999999999</v>
      </c>
      <c r="J9" s="40">
        <v>2126</v>
      </c>
      <c r="K9" s="79">
        <v>1152674.473</v>
      </c>
      <c r="L9" s="43">
        <f>SUM(B9:K9)</f>
        <v>6099475.46</v>
      </c>
    </row>
    <row r="10" spans="1:12" ht="25.5" customHeight="1" x14ac:dyDescent="0.2">
      <c r="A10" s="68" t="s">
        <v>21</v>
      </c>
      <c r="B10" s="40">
        <f>18854+43156</f>
        <v>62010</v>
      </c>
      <c r="C10" s="79">
        <v>13137.753000000001</v>
      </c>
      <c r="D10" s="79">
        <v>209.149</v>
      </c>
      <c r="E10" s="40">
        <v>0</v>
      </c>
      <c r="F10" s="80">
        <v>11518.843000000001</v>
      </c>
      <c r="G10" s="79">
        <v>38.454000000000001</v>
      </c>
      <c r="H10" s="40">
        <v>0</v>
      </c>
      <c r="I10" s="79">
        <v>26496.294000000002</v>
      </c>
      <c r="J10" s="40">
        <v>0</v>
      </c>
      <c r="K10" s="79">
        <v>40528.832999999999</v>
      </c>
      <c r="L10" s="43">
        <f>SUM(B10:K10)</f>
        <v>153939.326</v>
      </c>
    </row>
    <row r="11" spans="1:12" ht="21" customHeight="1" x14ac:dyDescent="0.2">
      <c r="A11" s="69" t="s">
        <v>22</v>
      </c>
      <c r="B11" s="46"/>
      <c r="C11" s="46"/>
      <c r="D11" s="46"/>
      <c r="E11" s="46"/>
      <c r="F11" s="46"/>
      <c r="G11" s="81"/>
      <c r="H11" s="46"/>
      <c r="I11" s="46"/>
      <c r="J11" s="46"/>
      <c r="K11" s="46"/>
      <c r="L11" s="48"/>
    </row>
    <row r="12" spans="1:12" ht="17.25" customHeight="1" x14ac:dyDescent="0.2">
      <c r="A12" s="68" t="s">
        <v>17</v>
      </c>
      <c r="B12" s="40">
        <v>1757375</v>
      </c>
      <c r="C12" s="79">
        <v>4883671.0669999998</v>
      </c>
      <c r="D12" s="79">
        <v>10371.476000000001</v>
      </c>
      <c r="E12" s="40">
        <v>108904.617</v>
      </c>
      <c r="F12" s="40">
        <v>382721.565</v>
      </c>
      <c r="G12" s="79">
        <v>9834.5750000000007</v>
      </c>
      <c r="H12" s="79">
        <v>272447.946</v>
      </c>
      <c r="I12" s="79">
        <v>99100.61</v>
      </c>
      <c r="J12" s="40">
        <v>13860</v>
      </c>
      <c r="K12" s="79">
        <v>2511875.327</v>
      </c>
      <c r="L12" s="43">
        <f>SUM(B12:K12)</f>
        <v>10050162.183</v>
      </c>
    </row>
    <row r="13" spans="1:12" ht="17.25" customHeight="1" x14ac:dyDescent="0.2">
      <c r="A13" s="68" t="s">
        <v>23</v>
      </c>
      <c r="B13" s="40">
        <v>28502</v>
      </c>
      <c r="C13" s="79">
        <v>59965.336000000003</v>
      </c>
      <c r="D13" s="79">
        <v>0</v>
      </c>
      <c r="E13" s="40">
        <v>0</v>
      </c>
      <c r="F13" s="40">
        <v>12102.912</v>
      </c>
      <c r="G13" s="79">
        <v>164.23099999999999</v>
      </c>
      <c r="H13" s="40">
        <v>0</v>
      </c>
      <c r="I13" s="79">
        <v>26716.154999999999</v>
      </c>
      <c r="J13" s="40">
        <v>0</v>
      </c>
      <c r="K13" s="79">
        <v>28276.73</v>
      </c>
      <c r="L13" s="43">
        <f>SUM(B13:K13)</f>
        <v>155727.364</v>
      </c>
    </row>
    <row r="14" spans="1:12" ht="17.25" customHeight="1" x14ac:dyDescent="0.2">
      <c r="A14" s="68" t="s">
        <v>19</v>
      </c>
      <c r="B14" s="44">
        <f t="shared" ref="B14:H14" si="0">B12-B13</f>
        <v>1728873</v>
      </c>
      <c r="C14" s="44">
        <f t="shared" si="0"/>
        <v>4823705.7309999997</v>
      </c>
      <c r="D14" s="44">
        <f t="shared" si="0"/>
        <v>10371.476000000001</v>
      </c>
      <c r="E14" s="44">
        <f t="shared" si="0"/>
        <v>108904.617</v>
      </c>
      <c r="F14" s="44">
        <f>(F12-F13)</f>
        <v>370618.65299999999</v>
      </c>
      <c r="G14" s="44">
        <f t="shared" si="0"/>
        <v>9670.344000000001</v>
      </c>
      <c r="H14" s="44">
        <f t="shared" si="0"/>
        <v>272447.946</v>
      </c>
      <c r="I14" s="44">
        <f>(I12-I13)</f>
        <v>72384.455000000002</v>
      </c>
      <c r="J14" s="44">
        <f>(J12-J13)</f>
        <v>13860</v>
      </c>
      <c r="K14" s="44">
        <f>(K12-K13)</f>
        <v>2483598.5970000001</v>
      </c>
      <c r="L14" s="43">
        <f>SUM(B14:K14)</f>
        <v>9894434.8189999983</v>
      </c>
    </row>
    <row r="15" spans="1:12" ht="21" customHeight="1" x14ac:dyDescent="0.2">
      <c r="A15" s="69" t="s">
        <v>24</v>
      </c>
      <c r="B15" s="46"/>
      <c r="C15" s="46"/>
      <c r="D15" s="46"/>
      <c r="E15" s="46"/>
      <c r="F15" s="46"/>
      <c r="G15" s="81"/>
      <c r="H15" s="46"/>
      <c r="I15" s="46"/>
      <c r="J15" s="46"/>
      <c r="K15" s="46"/>
      <c r="L15" s="48"/>
    </row>
    <row r="16" spans="1:12" ht="17.25" customHeight="1" x14ac:dyDescent="0.2">
      <c r="A16" s="68" t="s">
        <v>25</v>
      </c>
      <c r="B16" s="40">
        <v>17406</v>
      </c>
      <c r="C16" s="79">
        <v>5873.7809999999999</v>
      </c>
      <c r="D16" s="79">
        <v>0</v>
      </c>
      <c r="E16" s="40">
        <v>20.727</v>
      </c>
      <c r="F16" s="40">
        <v>17675.689999999999</v>
      </c>
      <c r="G16" s="79">
        <v>16.199000000000002</v>
      </c>
      <c r="H16" s="40">
        <v>0</v>
      </c>
      <c r="I16" s="40">
        <v>0</v>
      </c>
      <c r="J16" s="40">
        <v>0</v>
      </c>
      <c r="K16" s="79">
        <v>16521.937000000002</v>
      </c>
      <c r="L16" s="43">
        <f t="shared" ref="L16:L22" si="1">SUM(B16:K16)</f>
        <v>57514.334000000003</v>
      </c>
    </row>
    <row r="17" spans="1:12" ht="17.25" customHeight="1" x14ac:dyDescent="0.2">
      <c r="A17" s="68" t="s">
        <v>26</v>
      </c>
      <c r="B17" s="40">
        <v>136663</v>
      </c>
      <c r="C17" s="79">
        <v>216545.67800000001</v>
      </c>
      <c r="D17" s="79">
        <v>120.49299999999999</v>
      </c>
      <c r="E17" s="40">
        <v>12850.791999999999</v>
      </c>
      <c r="F17" s="40">
        <v>22171.355</v>
      </c>
      <c r="G17" s="79">
        <v>0</v>
      </c>
      <c r="H17" s="79">
        <v>17987.821</v>
      </c>
      <c r="I17" s="79">
        <v>19679.235000000001</v>
      </c>
      <c r="J17" s="40">
        <v>367</v>
      </c>
      <c r="K17" s="79">
        <v>87475.245999999999</v>
      </c>
      <c r="L17" s="43">
        <f t="shared" si="1"/>
        <v>513860.62</v>
      </c>
    </row>
    <row r="18" spans="1:12" ht="17.25" customHeight="1" x14ac:dyDescent="0.2">
      <c r="A18" s="68" t="s">
        <v>19</v>
      </c>
      <c r="B18" s="44">
        <f>B16-B17</f>
        <v>-119257</v>
      </c>
      <c r="C18" s="44">
        <f>C16-C17</f>
        <v>-210671.89700000003</v>
      </c>
      <c r="D18" s="44">
        <f t="shared" ref="D18:K18" si="2">D16-D17</f>
        <v>-120.49299999999999</v>
      </c>
      <c r="E18" s="44">
        <f>E16-E17</f>
        <v>-12830.064999999999</v>
      </c>
      <c r="F18" s="44">
        <f>(F16-F17)</f>
        <v>-4495.6650000000009</v>
      </c>
      <c r="G18" s="44">
        <f t="shared" si="2"/>
        <v>16.199000000000002</v>
      </c>
      <c r="H18" s="44">
        <f t="shared" si="2"/>
        <v>-17987.821</v>
      </c>
      <c r="I18" s="44">
        <f t="shared" si="2"/>
        <v>-19679.235000000001</v>
      </c>
      <c r="J18" s="44">
        <f>(J16-J17)</f>
        <v>-367</v>
      </c>
      <c r="K18" s="44">
        <f t="shared" si="2"/>
        <v>-70953.308999999994</v>
      </c>
      <c r="L18" s="43">
        <f t="shared" si="1"/>
        <v>-456346.28599999996</v>
      </c>
    </row>
    <row r="19" spans="1:12" ht="21" customHeight="1" x14ac:dyDescent="0.2">
      <c r="A19" s="70" t="s">
        <v>27</v>
      </c>
      <c r="B19" s="40">
        <v>305046</v>
      </c>
      <c r="C19" s="79">
        <v>421500.696</v>
      </c>
      <c r="D19" s="79">
        <v>497.29199999999997</v>
      </c>
      <c r="E19" s="40">
        <v>54165.392</v>
      </c>
      <c r="F19" s="40">
        <v>130804.333</v>
      </c>
      <c r="G19" s="79">
        <v>798</v>
      </c>
      <c r="H19" s="79">
        <v>34104.269999999997</v>
      </c>
      <c r="I19" s="79">
        <v>38529.209000000003</v>
      </c>
      <c r="J19" s="40">
        <v>4089</v>
      </c>
      <c r="K19" s="79">
        <v>137416.663</v>
      </c>
      <c r="L19" s="43">
        <f t="shared" si="1"/>
        <v>1126950.855</v>
      </c>
    </row>
    <row r="20" spans="1:12" ht="20.25" customHeight="1" x14ac:dyDescent="0.2">
      <c r="A20" s="70" t="s">
        <v>28</v>
      </c>
      <c r="B20" s="40">
        <v>9895</v>
      </c>
      <c r="C20" s="40">
        <v>0</v>
      </c>
      <c r="D20" s="79">
        <v>333.64299999999997</v>
      </c>
      <c r="E20" s="40">
        <v>773</v>
      </c>
      <c r="F20" s="40">
        <v>338.98</v>
      </c>
      <c r="G20" s="79">
        <v>520.88300000000004</v>
      </c>
      <c r="H20" s="79">
        <v>27533.18</v>
      </c>
      <c r="I20" s="79">
        <v>0</v>
      </c>
      <c r="J20" s="40">
        <v>0</v>
      </c>
      <c r="K20" s="79">
        <v>28654.973999999998</v>
      </c>
      <c r="L20" s="43">
        <f t="shared" si="1"/>
        <v>68049.66</v>
      </c>
    </row>
    <row r="21" spans="1:12" ht="20.25" customHeight="1" x14ac:dyDescent="0.2">
      <c r="A21" s="71" t="s">
        <v>29</v>
      </c>
      <c r="B21" s="49">
        <v>22364048</v>
      </c>
      <c r="C21" s="82">
        <v>16499557.300000001</v>
      </c>
      <c r="D21" s="82">
        <v>65442.519</v>
      </c>
      <c r="E21" s="49">
        <v>879843.95200000005</v>
      </c>
      <c r="F21" s="49">
        <v>4890974.1900000004</v>
      </c>
      <c r="G21" s="82">
        <v>65983.270999999993</v>
      </c>
      <c r="H21" s="82">
        <v>2625374.5559999999</v>
      </c>
      <c r="I21" s="82">
        <v>515585.91899999999</v>
      </c>
      <c r="J21" s="49">
        <v>40532</v>
      </c>
      <c r="K21" s="82">
        <v>25123407.789999999</v>
      </c>
      <c r="L21" s="52">
        <f t="shared" si="1"/>
        <v>73070749.496999994</v>
      </c>
    </row>
    <row r="22" spans="1:12" ht="20.25" customHeight="1" x14ac:dyDescent="0.2">
      <c r="A22" s="72" t="s">
        <v>30</v>
      </c>
      <c r="B22" s="83">
        <v>24208419</v>
      </c>
      <c r="C22" s="83">
        <v>19350730.395</v>
      </c>
      <c r="D22" s="84">
        <v>62741.065000000002</v>
      </c>
      <c r="E22" s="83">
        <v>1039491.942</v>
      </c>
      <c r="F22" s="83">
        <v>5111814.5920000002</v>
      </c>
      <c r="G22" s="84">
        <v>63211.726000000002</v>
      </c>
      <c r="H22" s="84">
        <v>2845616.0830000001</v>
      </c>
      <c r="I22" s="84">
        <v>597510.56599999999</v>
      </c>
      <c r="J22" s="85">
        <v>43441</v>
      </c>
      <c r="K22" s="84">
        <v>26754178.938000001</v>
      </c>
      <c r="L22" s="56">
        <f t="shared" si="1"/>
        <v>80077155.306999996</v>
      </c>
    </row>
    <row r="23" spans="1:12" ht="18.75" customHeight="1" x14ac:dyDescent="0.2">
      <c r="A23" s="73"/>
      <c r="B23" s="57"/>
      <c r="C23" s="58"/>
      <c r="D23" s="59"/>
      <c r="E23" s="58"/>
      <c r="F23" s="58"/>
      <c r="G23" s="59"/>
      <c r="H23" s="58"/>
      <c r="I23" s="58"/>
      <c r="J23" s="59"/>
      <c r="K23" s="58"/>
      <c r="L23" s="60"/>
    </row>
    <row r="24" spans="1:12" x14ac:dyDescent="0.2">
      <c r="A24" s="25" t="s">
        <v>76</v>
      </c>
    </row>
    <row r="25" spans="1:12" x14ac:dyDescent="0.2">
      <c r="A25" s="64"/>
    </row>
  </sheetData>
  <mergeCells count="2">
    <mergeCell ref="A1:L1"/>
    <mergeCell ref="A2:L2"/>
  </mergeCells>
  <printOptions horizontalCentered="1"/>
  <pageMargins left="0.5" right="0.5" top="1" bottom="1" header="0.25" footer="0.25"/>
  <pageSetup paperSize="9" scale="4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showGridLines="0" workbookViewId="0">
      <pane xSplit="1" ySplit="4" topLeftCell="B5" activePane="bottomRight" state="frozen"/>
      <selection activeCell="E48" sqref="E48"/>
      <selection pane="topRight" activeCell="E48" sqref="E48"/>
      <selection pane="bottomLeft" activeCell="E48" sqref="E48"/>
      <selection pane="bottomRight" activeCell="C27" sqref="C27"/>
    </sheetView>
  </sheetViews>
  <sheetFormatPr defaultColWidth="9" defaultRowHeight="12.75" x14ac:dyDescent="0.2"/>
  <cols>
    <col min="1" max="1" width="41.28515625" style="63" bestFit="1" customWidth="1"/>
    <col min="2" max="2" width="18.28515625" style="61" customWidth="1"/>
    <col min="3" max="3" width="11.42578125" style="61" customWidth="1"/>
    <col min="4" max="4" width="10.5703125" style="61" customWidth="1"/>
    <col min="5" max="5" width="9.5703125" style="61" customWidth="1"/>
    <col min="6" max="7" width="10.5703125" style="61" customWidth="1"/>
    <col min="8" max="8" width="9.85546875" style="62" customWidth="1"/>
    <col min="9" max="10" width="10.5703125" style="61" customWidth="1"/>
    <col min="11" max="11" width="3.28515625" style="61" hidden="1" customWidth="1"/>
    <col min="12" max="12" width="10.7109375" style="61" customWidth="1"/>
    <col min="13" max="13" width="11.7109375" style="61" customWidth="1"/>
    <col min="14" max="14" width="2.7109375" style="61" hidden="1" customWidth="1"/>
    <col min="15" max="15" width="13.42578125" style="63" customWidth="1"/>
    <col min="16" max="16384" width="9" style="1"/>
  </cols>
  <sheetData>
    <row r="1" spans="1:15" s="74" customFormat="1" ht="20.100000000000001" customHeight="1" x14ac:dyDescent="0.25">
      <c r="A1" s="200" t="s">
        <v>0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</row>
    <row r="2" spans="1:15" s="74" customFormat="1" ht="20.100000000000001" customHeight="1" x14ac:dyDescent="0.25">
      <c r="A2" s="200" t="s">
        <v>40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</row>
    <row r="3" spans="1:15" ht="13.5" customHeight="1" x14ac:dyDescent="0.2">
      <c r="A3" s="29"/>
      <c r="B3" s="117"/>
      <c r="C3" s="118"/>
      <c r="D3" s="118"/>
      <c r="E3" s="119"/>
      <c r="F3" s="118"/>
      <c r="G3" s="118"/>
      <c r="H3" s="119"/>
      <c r="I3" s="118"/>
      <c r="J3" s="118"/>
      <c r="K3" s="86"/>
      <c r="L3" s="119"/>
      <c r="M3" s="118"/>
      <c r="N3" s="86"/>
      <c r="O3" s="30" t="s">
        <v>1</v>
      </c>
    </row>
    <row r="4" spans="1:15" s="2" customFormat="1" ht="30" customHeight="1" x14ac:dyDescent="0.2">
      <c r="A4" s="31"/>
      <c r="B4" s="87" t="s">
        <v>33</v>
      </c>
      <c r="C4" s="88" t="s">
        <v>34</v>
      </c>
      <c r="D4" s="88" t="s">
        <v>35</v>
      </c>
      <c r="E4" s="88" t="s">
        <v>41</v>
      </c>
      <c r="F4" s="88" t="s">
        <v>7</v>
      </c>
      <c r="G4" s="88" t="s">
        <v>36</v>
      </c>
      <c r="H4" s="88" t="s">
        <v>42</v>
      </c>
      <c r="I4" s="88" t="s">
        <v>10</v>
      </c>
      <c r="J4" s="88" t="s">
        <v>11</v>
      </c>
      <c r="K4" s="88"/>
      <c r="L4" s="88" t="s">
        <v>43</v>
      </c>
      <c r="M4" s="88" t="s">
        <v>13</v>
      </c>
      <c r="N4" s="89"/>
      <c r="O4" s="90" t="s">
        <v>15</v>
      </c>
    </row>
    <row r="5" spans="1:15" ht="21" customHeight="1" x14ac:dyDescent="0.2">
      <c r="A5" s="67" t="s">
        <v>16</v>
      </c>
      <c r="B5" s="75"/>
      <c r="C5" s="75"/>
      <c r="D5" s="75"/>
      <c r="E5" s="91"/>
      <c r="F5" s="92"/>
      <c r="G5" s="92"/>
      <c r="H5" s="93"/>
      <c r="I5" s="78"/>
      <c r="J5" s="78"/>
      <c r="K5" s="78"/>
      <c r="L5" s="94"/>
      <c r="M5" s="78"/>
      <c r="N5" s="95"/>
      <c r="O5" s="96"/>
    </row>
    <row r="6" spans="1:15" ht="17.25" customHeight="1" x14ac:dyDescent="0.2">
      <c r="A6" s="68" t="s">
        <v>17</v>
      </c>
      <c r="B6" s="97">
        <f>2004450+211670</f>
        <v>2216120</v>
      </c>
      <c r="C6" s="97">
        <v>6555247</v>
      </c>
      <c r="D6" s="97">
        <v>304510</v>
      </c>
      <c r="E6" s="97">
        <v>6288</v>
      </c>
      <c r="F6" s="97">
        <v>149086</v>
      </c>
      <c r="G6" s="97">
        <v>621559</v>
      </c>
      <c r="H6" s="98">
        <v>7895</v>
      </c>
      <c r="I6" s="97">
        <v>318056</v>
      </c>
      <c r="J6" s="97">
        <v>60375</v>
      </c>
      <c r="K6" s="97"/>
      <c r="L6" s="97">
        <v>20170</v>
      </c>
      <c r="M6" s="97">
        <v>2694036</v>
      </c>
      <c r="N6" s="97"/>
      <c r="O6" s="99">
        <f>SUM(B6:N6)</f>
        <v>12953342</v>
      </c>
    </row>
    <row r="7" spans="1:15" ht="17.25" customHeight="1" x14ac:dyDescent="0.2">
      <c r="A7" s="68" t="s">
        <v>18</v>
      </c>
      <c r="B7" s="97">
        <v>81571</v>
      </c>
      <c r="C7" s="97">
        <v>32941</v>
      </c>
      <c r="D7" s="97">
        <v>42439</v>
      </c>
      <c r="E7" s="97">
        <v>317</v>
      </c>
      <c r="F7" s="97">
        <v>3057</v>
      </c>
      <c r="G7" s="97">
        <v>49274</v>
      </c>
      <c r="H7" s="98">
        <v>573</v>
      </c>
      <c r="I7" s="97">
        <v>0</v>
      </c>
      <c r="J7" s="97">
        <v>9233</v>
      </c>
      <c r="K7" s="97"/>
      <c r="L7" s="97">
        <v>675</v>
      </c>
      <c r="M7" s="97">
        <v>90468</v>
      </c>
      <c r="N7" s="97"/>
      <c r="O7" s="99">
        <f>SUM(B7:N7)</f>
        <v>310548</v>
      </c>
    </row>
    <row r="8" spans="1:15" ht="17.25" customHeight="1" x14ac:dyDescent="0.2">
      <c r="A8" s="68" t="s">
        <v>19</v>
      </c>
      <c r="B8" s="100">
        <f>B6-B7</f>
        <v>2134549</v>
      </c>
      <c r="C8" s="100">
        <f>C6-C7</f>
        <v>6522306</v>
      </c>
      <c r="D8" s="100">
        <f>D6-D7</f>
        <v>262071</v>
      </c>
      <c r="E8" s="100">
        <f>E6-E7</f>
        <v>5971</v>
      </c>
      <c r="F8" s="100">
        <f>F6-F7</f>
        <v>146029</v>
      </c>
      <c r="G8" s="100">
        <f>(G6-G7)</f>
        <v>572285</v>
      </c>
      <c r="H8" s="100">
        <f>H6-H7</f>
        <v>7322</v>
      </c>
      <c r="I8" s="100">
        <f>I6-I7</f>
        <v>318056</v>
      </c>
      <c r="J8" s="100">
        <f>(J6-J7)</f>
        <v>51142</v>
      </c>
      <c r="K8" s="100"/>
      <c r="L8" s="100">
        <f>(L6-L7)</f>
        <v>19495</v>
      </c>
      <c r="M8" s="100">
        <f>(M6-M7)</f>
        <v>2603568</v>
      </c>
      <c r="N8" s="100"/>
      <c r="O8" s="99">
        <f>SUM(B8:N8)</f>
        <v>12642794</v>
      </c>
    </row>
    <row r="9" spans="1:15" ht="29.25" customHeight="1" x14ac:dyDescent="0.2">
      <c r="A9" s="68" t="s">
        <v>20</v>
      </c>
      <c r="B9" s="97">
        <v>181194</v>
      </c>
      <c r="C9" s="97">
        <v>2175509</v>
      </c>
      <c r="D9" s="97">
        <v>80746</v>
      </c>
      <c r="E9" s="97">
        <v>6813</v>
      </c>
      <c r="F9" s="97">
        <v>36575</v>
      </c>
      <c r="G9" s="97">
        <v>191724</v>
      </c>
      <c r="H9" s="98">
        <v>4981</v>
      </c>
      <c r="I9" s="97">
        <v>245856</v>
      </c>
      <c r="J9" s="97">
        <v>18690</v>
      </c>
      <c r="K9" s="97"/>
      <c r="L9" s="97">
        <v>1548</v>
      </c>
      <c r="M9" s="97">
        <v>1236068</v>
      </c>
      <c r="N9" s="97"/>
      <c r="O9" s="99">
        <f>SUM(B9:N9)</f>
        <v>4179704</v>
      </c>
    </row>
    <row r="10" spans="1:15" ht="29.25" customHeight="1" x14ac:dyDescent="0.2">
      <c r="A10" s="68" t="s">
        <v>21</v>
      </c>
      <c r="B10" s="97">
        <f>15198-49491</f>
        <v>-34293</v>
      </c>
      <c r="C10" s="97">
        <v>5706</v>
      </c>
      <c r="D10" s="97">
        <f>26268+45967</f>
        <v>72235</v>
      </c>
      <c r="E10" s="97">
        <v>290</v>
      </c>
      <c r="F10" s="97">
        <v>0</v>
      </c>
      <c r="G10" s="101">
        <v>-1973</v>
      </c>
      <c r="H10" s="98">
        <v>44</v>
      </c>
      <c r="I10" s="97">
        <v>0</v>
      </c>
      <c r="J10" s="97">
        <v>11854</v>
      </c>
      <c r="K10" s="97"/>
      <c r="L10" s="97">
        <v>4641</v>
      </c>
      <c r="M10" s="97">
        <f>29280+31100</f>
        <v>60380</v>
      </c>
      <c r="N10" s="97"/>
      <c r="O10" s="99">
        <f>SUM(B10:N10)</f>
        <v>118884</v>
      </c>
    </row>
    <row r="11" spans="1:15" ht="21" customHeight="1" x14ac:dyDescent="0.2">
      <c r="A11" s="69" t="s">
        <v>22</v>
      </c>
      <c r="B11" s="102"/>
      <c r="C11" s="102"/>
      <c r="D11" s="102"/>
      <c r="E11" s="102"/>
      <c r="F11" s="102"/>
      <c r="G11" s="102"/>
      <c r="H11" s="103"/>
      <c r="I11" s="102"/>
      <c r="J11" s="102"/>
      <c r="K11" s="102"/>
      <c r="L11" s="102"/>
      <c r="M11" s="102"/>
      <c r="N11" s="102"/>
      <c r="O11" s="104"/>
    </row>
    <row r="12" spans="1:15" ht="17.25" customHeight="1" x14ac:dyDescent="0.2">
      <c r="A12" s="68" t="s">
        <v>17</v>
      </c>
      <c r="B12" s="97">
        <f>99845+854607+888960+252545</f>
        <v>2095957</v>
      </c>
      <c r="C12" s="97">
        <v>5138131</v>
      </c>
      <c r="D12" s="97">
        <v>254440</v>
      </c>
      <c r="E12" s="97">
        <v>12138</v>
      </c>
      <c r="F12" s="97">
        <v>92712</v>
      </c>
      <c r="G12" s="97">
        <v>357403</v>
      </c>
      <c r="H12" s="98">
        <v>9715</v>
      </c>
      <c r="I12" s="97">
        <v>299846</v>
      </c>
      <c r="J12" s="97">
        <v>33787</v>
      </c>
      <c r="K12" s="97"/>
      <c r="L12" s="97">
        <v>12839</v>
      </c>
      <c r="M12" s="97">
        <v>2276607</v>
      </c>
      <c r="N12" s="97"/>
      <c r="O12" s="99">
        <f>SUM(B12:N12)</f>
        <v>10583575</v>
      </c>
    </row>
    <row r="13" spans="1:15" ht="17.25" customHeight="1" x14ac:dyDescent="0.2">
      <c r="A13" s="68" t="s">
        <v>23</v>
      </c>
      <c r="B13" s="97">
        <v>10760</v>
      </c>
      <c r="C13" s="97">
        <v>16018</v>
      </c>
      <c r="D13" s="97">
        <v>10307</v>
      </c>
      <c r="E13" s="97">
        <v>0</v>
      </c>
      <c r="F13" s="97">
        <v>0</v>
      </c>
      <c r="G13" s="97">
        <v>12226</v>
      </c>
      <c r="H13" s="98">
        <v>35</v>
      </c>
      <c r="I13" s="97">
        <v>0</v>
      </c>
      <c r="J13" s="97">
        <v>2457</v>
      </c>
      <c r="K13" s="97"/>
      <c r="L13" s="97">
        <v>0</v>
      </c>
      <c r="M13" s="97">
        <v>21247</v>
      </c>
      <c r="N13" s="97"/>
      <c r="O13" s="99">
        <f>SUM(B13:N13)</f>
        <v>73050</v>
      </c>
    </row>
    <row r="14" spans="1:15" ht="17.25" customHeight="1" x14ac:dyDescent="0.2">
      <c r="A14" s="68" t="s">
        <v>19</v>
      </c>
      <c r="B14" s="100">
        <f t="shared" ref="B14:I14" si="0">B12-B13</f>
        <v>2085197</v>
      </c>
      <c r="C14" s="100">
        <f t="shared" si="0"/>
        <v>5122113</v>
      </c>
      <c r="D14" s="100">
        <f t="shared" si="0"/>
        <v>244133</v>
      </c>
      <c r="E14" s="100">
        <f t="shared" si="0"/>
        <v>12138</v>
      </c>
      <c r="F14" s="100">
        <f t="shared" si="0"/>
        <v>92712</v>
      </c>
      <c r="G14" s="100">
        <f>(G12-G13)</f>
        <v>345177</v>
      </c>
      <c r="H14" s="100">
        <f t="shared" si="0"/>
        <v>9680</v>
      </c>
      <c r="I14" s="100">
        <f t="shared" si="0"/>
        <v>299846</v>
      </c>
      <c r="J14" s="100">
        <f>(J12-J13)</f>
        <v>31330</v>
      </c>
      <c r="K14" s="100"/>
      <c r="L14" s="100">
        <f>(L12-L13)</f>
        <v>12839</v>
      </c>
      <c r="M14" s="100">
        <f>(M12-M13)</f>
        <v>2255360</v>
      </c>
      <c r="N14" s="100"/>
      <c r="O14" s="99">
        <f>SUM(B14:N14)</f>
        <v>10510525</v>
      </c>
    </row>
    <row r="15" spans="1:15" ht="21" customHeight="1" x14ac:dyDescent="0.2">
      <c r="A15" s="69" t="s">
        <v>24</v>
      </c>
      <c r="B15" s="102"/>
      <c r="C15" s="102"/>
      <c r="D15" s="102"/>
      <c r="E15" s="102"/>
      <c r="F15" s="102"/>
      <c r="G15" s="102"/>
      <c r="H15" s="103"/>
      <c r="I15" s="102"/>
      <c r="J15" s="102"/>
      <c r="K15" s="102"/>
      <c r="L15" s="102"/>
      <c r="M15" s="102"/>
      <c r="N15" s="102"/>
      <c r="O15" s="104"/>
    </row>
    <row r="16" spans="1:15" ht="17.25" customHeight="1" x14ac:dyDescent="0.2">
      <c r="A16" s="68" t="s">
        <v>25</v>
      </c>
      <c r="B16" s="97">
        <v>17314</v>
      </c>
      <c r="C16" s="97">
        <v>4252</v>
      </c>
      <c r="D16" s="97">
        <v>32311</v>
      </c>
      <c r="E16" s="97">
        <v>15</v>
      </c>
      <c r="F16" s="97">
        <v>1111</v>
      </c>
      <c r="G16" s="97">
        <v>18252</v>
      </c>
      <c r="H16" s="98">
        <v>17</v>
      </c>
      <c r="I16" s="97">
        <v>0</v>
      </c>
      <c r="J16" s="97">
        <v>2275</v>
      </c>
      <c r="K16" s="97"/>
      <c r="L16" s="97">
        <v>0</v>
      </c>
      <c r="M16" s="97">
        <v>11911</v>
      </c>
      <c r="N16" s="97"/>
      <c r="O16" s="99">
        <f t="shared" ref="O16:O22" si="1">SUM(B16:N16)</f>
        <v>87458</v>
      </c>
    </row>
    <row r="17" spans="1:15" ht="17.25" customHeight="1" x14ac:dyDescent="0.2">
      <c r="A17" s="68" t="s">
        <v>26</v>
      </c>
      <c r="B17" s="97">
        <v>102551</v>
      </c>
      <c r="C17" s="97">
        <v>197571</v>
      </c>
      <c r="D17" s="97">
        <v>11968</v>
      </c>
      <c r="E17" s="97">
        <v>135</v>
      </c>
      <c r="F17" s="97">
        <v>11669</v>
      </c>
      <c r="G17" s="97">
        <v>26106</v>
      </c>
      <c r="H17" s="98">
        <v>150</v>
      </c>
      <c r="I17" s="97">
        <v>22232</v>
      </c>
      <c r="J17" s="97">
        <v>10751</v>
      </c>
      <c r="K17" s="97"/>
      <c r="L17" s="97">
        <v>1647</v>
      </c>
      <c r="M17" s="97">
        <v>66357</v>
      </c>
      <c r="N17" s="97"/>
      <c r="O17" s="99">
        <f t="shared" si="1"/>
        <v>451137</v>
      </c>
    </row>
    <row r="18" spans="1:15" ht="17.25" customHeight="1" x14ac:dyDescent="0.2">
      <c r="A18" s="68" t="s">
        <v>19</v>
      </c>
      <c r="B18" s="100">
        <f>B16-B17</f>
        <v>-85237</v>
      </c>
      <c r="C18" s="100">
        <f>C16-C17</f>
        <v>-193319</v>
      </c>
      <c r="D18" s="100">
        <f>D16-D17</f>
        <v>20343</v>
      </c>
      <c r="E18" s="100">
        <f t="shared" ref="E18:M18" si="2">E16-E17</f>
        <v>-120</v>
      </c>
      <c r="F18" s="100">
        <f>F16-F17</f>
        <v>-10558</v>
      </c>
      <c r="G18" s="100">
        <f>(G16-G17)</f>
        <v>-7854</v>
      </c>
      <c r="H18" s="100">
        <f t="shared" si="2"/>
        <v>-133</v>
      </c>
      <c r="I18" s="100">
        <f t="shared" si="2"/>
        <v>-22232</v>
      </c>
      <c r="J18" s="100">
        <f t="shared" si="2"/>
        <v>-8476</v>
      </c>
      <c r="K18" s="100"/>
      <c r="L18" s="100">
        <f>(L16-L17)</f>
        <v>-1647</v>
      </c>
      <c r="M18" s="100">
        <f t="shared" si="2"/>
        <v>-54446</v>
      </c>
      <c r="N18" s="100"/>
      <c r="O18" s="99">
        <f t="shared" si="1"/>
        <v>-363679</v>
      </c>
    </row>
    <row r="19" spans="1:15" ht="21" customHeight="1" x14ac:dyDescent="0.2">
      <c r="A19" s="70" t="s">
        <v>27</v>
      </c>
      <c r="B19" s="97">
        <v>236950</v>
      </c>
      <c r="C19" s="97">
        <v>435659</v>
      </c>
      <c r="D19" s="97">
        <v>70886</v>
      </c>
      <c r="E19" s="97">
        <f>718+2</f>
        <v>720</v>
      </c>
      <c r="F19" s="97">
        <f>43677+5</f>
        <v>43682</v>
      </c>
      <c r="G19" s="97">
        <v>131645</v>
      </c>
      <c r="H19" s="98">
        <v>1140</v>
      </c>
      <c r="I19" s="97">
        <v>31145</v>
      </c>
      <c r="J19" s="97">
        <v>27939</v>
      </c>
      <c r="K19" s="97"/>
      <c r="L19" s="97">
        <v>8813</v>
      </c>
      <c r="M19" s="97">
        <v>121652</v>
      </c>
      <c r="N19" s="97"/>
      <c r="O19" s="99">
        <f t="shared" si="1"/>
        <v>1110231</v>
      </c>
    </row>
    <row r="20" spans="1:15" ht="20.25" customHeight="1" x14ac:dyDescent="0.2">
      <c r="A20" s="70" t="s">
        <v>28</v>
      </c>
      <c r="B20" s="97">
        <v>5948</v>
      </c>
      <c r="C20" s="97">
        <v>0</v>
      </c>
      <c r="D20" s="97">
        <v>0</v>
      </c>
      <c r="E20" s="97">
        <v>882</v>
      </c>
      <c r="F20" s="97">
        <v>8864</v>
      </c>
      <c r="G20" s="97">
        <v>4391</v>
      </c>
      <c r="H20" s="98">
        <v>570</v>
      </c>
      <c r="I20" s="97">
        <v>26758</v>
      </c>
      <c r="J20" s="97">
        <v>0</v>
      </c>
      <c r="K20" s="97"/>
      <c r="L20" s="97">
        <v>0</v>
      </c>
      <c r="M20" s="97">
        <v>30881</v>
      </c>
      <c r="N20" s="97"/>
      <c r="O20" s="99">
        <f t="shared" si="1"/>
        <v>78294</v>
      </c>
    </row>
    <row r="21" spans="1:15" ht="20.25" customHeight="1" x14ac:dyDescent="0.2">
      <c r="A21" s="70" t="s">
        <v>29</v>
      </c>
      <c r="B21" s="97">
        <v>20811302</v>
      </c>
      <c r="C21" s="97">
        <v>13786458</v>
      </c>
      <c r="D21" s="97">
        <v>1651207</v>
      </c>
      <c r="E21" s="97">
        <v>66227</v>
      </c>
      <c r="F21" s="97">
        <v>835329</v>
      </c>
      <c r="G21" s="97">
        <v>4855648</v>
      </c>
      <c r="H21" s="98">
        <v>65180</v>
      </c>
      <c r="I21" s="97">
        <v>2443309</v>
      </c>
      <c r="J21" s="97">
        <v>512964</v>
      </c>
      <c r="K21" s="97"/>
      <c r="L21" s="97">
        <v>38597</v>
      </c>
      <c r="M21" s="97">
        <v>22796483</v>
      </c>
      <c r="N21" s="97"/>
      <c r="O21" s="99">
        <f t="shared" si="1"/>
        <v>67862704</v>
      </c>
    </row>
    <row r="22" spans="1:15" ht="20.25" customHeight="1" x14ac:dyDescent="0.2">
      <c r="A22" s="120" t="s">
        <v>30</v>
      </c>
      <c r="B22" s="105">
        <v>20514944</v>
      </c>
      <c r="C22" s="105">
        <v>16499557</v>
      </c>
      <c r="D22" s="105">
        <v>1720604</v>
      </c>
      <c r="E22" s="105">
        <v>65443</v>
      </c>
      <c r="F22" s="105">
        <v>879844</v>
      </c>
      <c r="G22" s="105">
        <v>4890974</v>
      </c>
      <c r="H22" s="106">
        <v>65983</v>
      </c>
      <c r="I22" s="105">
        <v>2625375</v>
      </c>
      <c r="J22" s="105">
        <v>515586</v>
      </c>
      <c r="K22" s="107"/>
      <c r="L22" s="108">
        <v>40532</v>
      </c>
      <c r="M22" s="107">
        <v>25123408</v>
      </c>
      <c r="N22" s="105"/>
      <c r="O22" s="109">
        <f t="shared" si="1"/>
        <v>72942250</v>
      </c>
    </row>
    <row r="23" spans="1:15" ht="15" customHeight="1" x14ac:dyDescent="0.2">
      <c r="A23" s="73"/>
      <c r="B23" s="57"/>
      <c r="C23" s="58"/>
      <c r="D23" s="58"/>
      <c r="E23" s="59"/>
      <c r="F23" s="58"/>
      <c r="G23" s="58"/>
      <c r="H23" s="59"/>
      <c r="I23" s="58"/>
      <c r="J23" s="58"/>
      <c r="K23" s="58"/>
      <c r="L23" s="59"/>
      <c r="M23" s="58"/>
      <c r="N23" s="58"/>
      <c r="O23" s="60"/>
    </row>
    <row r="24" spans="1:15" ht="15" customHeight="1" x14ac:dyDescent="0.2">
      <c r="A24" s="25" t="s">
        <v>76</v>
      </c>
      <c r="B24" s="64"/>
      <c r="C24" s="110"/>
      <c r="D24" s="110"/>
      <c r="E24" s="110"/>
      <c r="F24" s="110"/>
      <c r="G24" s="110"/>
      <c r="H24" s="110"/>
      <c r="I24" s="110"/>
      <c r="J24" s="110"/>
      <c r="K24" s="110"/>
      <c r="L24" s="111"/>
      <c r="M24" s="110"/>
      <c r="N24" s="112"/>
      <c r="O24" s="113"/>
    </row>
    <row r="25" spans="1:15" ht="15" customHeight="1" x14ac:dyDescent="0.2">
      <c r="A25" s="6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</row>
    <row r="26" spans="1:15" ht="12" customHeight="1" x14ac:dyDescent="0.2">
      <c r="M26" s="115"/>
      <c r="O26" s="116"/>
    </row>
  </sheetData>
  <mergeCells count="2">
    <mergeCell ref="A1:O1"/>
    <mergeCell ref="A2:O2"/>
  </mergeCells>
  <printOptions horizontalCentered="1"/>
  <pageMargins left="0.5" right="0.5" top="1" bottom="1" header="0.25" footer="0.25"/>
  <pageSetup paperSize="9" scale="83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zoomScaleNormal="100" workbookViewId="0">
      <pane xSplit="1" ySplit="4" topLeftCell="B5" activePane="bottomRight" state="frozen"/>
      <selection activeCell="A5" sqref="A5"/>
      <selection pane="topRight" activeCell="B5" sqref="B5"/>
      <selection pane="bottomLeft" activeCell="A6" sqref="A6"/>
      <selection pane="bottomRight" activeCell="A2" sqref="A2:O2"/>
    </sheetView>
  </sheetViews>
  <sheetFormatPr defaultColWidth="9" defaultRowHeight="12.75" x14ac:dyDescent="0.2"/>
  <cols>
    <col min="1" max="1" width="41.28515625" style="153" bestFit="1" customWidth="1"/>
    <col min="2" max="2" width="12.7109375" style="150" customWidth="1"/>
    <col min="3" max="3" width="12.5703125" style="150" customWidth="1"/>
    <col min="4" max="7" width="11.28515625" style="150" customWidth="1"/>
    <col min="8" max="8" width="11.42578125" style="149" customWidth="1"/>
    <col min="9" max="12" width="11.42578125" style="150" customWidth="1"/>
    <col min="13" max="13" width="14.140625" style="150" customWidth="1"/>
    <col min="14" max="14" width="11.42578125" style="150" customWidth="1"/>
    <col min="15" max="15" width="16" style="153" bestFit="1" customWidth="1"/>
    <col min="16" max="16384" width="9" style="8"/>
  </cols>
  <sheetData>
    <row r="1" spans="1:15" s="160" customFormat="1" ht="20.100000000000001" customHeight="1" x14ac:dyDescent="0.25">
      <c r="A1" s="200" t="s">
        <v>0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</row>
    <row r="2" spans="1:15" s="160" customFormat="1" ht="20.100000000000001" customHeight="1" x14ac:dyDescent="0.25">
      <c r="A2" s="200" t="s">
        <v>32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</row>
    <row r="3" spans="1:15" ht="15.75" customHeight="1" x14ac:dyDescent="0.2">
      <c r="A3" s="121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3" t="s">
        <v>1</v>
      </c>
    </row>
    <row r="4" spans="1:15" s="9" customFormat="1" ht="31.5" customHeight="1" x14ac:dyDescent="0.2">
      <c r="A4" s="124"/>
      <c r="B4" s="125" t="s">
        <v>33</v>
      </c>
      <c r="C4" s="125" t="s">
        <v>34</v>
      </c>
      <c r="D4" s="125" t="s">
        <v>35</v>
      </c>
      <c r="E4" s="125" t="s">
        <v>6</v>
      </c>
      <c r="F4" s="125" t="s">
        <v>7</v>
      </c>
      <c r="G4" s="125" t="s">
        <v>36</v>
      </c>
      <c r="H4" s="125" t="s">
        <v>8</v>
      </c>
      <c r="I4" s="125" t="s">
        <v>10</v>
      </c>
      <c r="J4" s="125" t="s">
        <v>11</v>
      </c>
      <c r="K4" s="125" t="s">
        <v>37</v>
      </c>
      <c r="L4" s="125" t="s">
        <v>38</v>
      </c>
      <c r="M4" s="125" t="s">
        <v>13</v>
      </c>
      <c r="N4" s="125" t="s">
        <v>14</v>
      </c>
      <c r="O4" s="126" t="s">
        <v>15</v>
      </c>
    </row>
    <row r="5" spans="1:15" ht="29.25" customHeight="1" x14ac:dyDescent="0.2">
      <c r="A5" s="154" t="s">
        <v>16</v>
      </c>
      <c r="B5" s="127"/>
      <c r="C5" s="127"/>
      <c r="D5" s="127"/>
      <c r="E5" s="127"/>
      <c r="F5" s="128"/>
      <c r="G5" s="128"/>
      <c r="H5" s="129"/>
      <c r="I5" s="130"/>
      <c r="J5" s="130"/>
      <c r="K5" s="130"/>
      <c r="L5" s="130"/>
      <c r="M5" s="130"/>
      <c r="N5" s="131"/>
      <c r="O5" s="132"/>
    </row>
    <row r="6" spans="1:15" ht="17.25" customHeight="1" x14ac:dyDescent="0.2">
      <c r="A6" s="155" t="s">
        <v>17</v>
      </c>
      <c r="B6" s="133">
        <v>1910693.791</v>
      </c>
      <c r="C6" s="133">
        <v>6026834.4612999996</v>
      </c>
      <c r="D6" s="133">
        <v>241659</v>
      </c>
      <c r="E6" s="133">
        <v>7031.7389999999996</v>
      </c>
      <c r="F6" s="133">
        <v>103574.20699999999</v>
      </c>
      <c r="G6" s="133">
        <v>197012.08</v>
      </c>
      <c r="H6" s="134">
        <v>8316.0447299999996</v>
      </c>
      <c r="I6" s="135">
        <v>321913.821</v>
      </c>
      <c r="J6" s="135">
        <v>69053.997000000003</v>
      </c>
      <c r="K6" s="135">
        <v>375579.40899999999</v>
      </c>
      <c r="L6" s="135">
        <v>22896.374</v>
      </c>
      <c r="M6" s="135">
        <v>2632033.5720000002</v>
      </c>
      <c r="N6" s="135">
        <v>46158.934000000001</v>
      </c>
      <c r="O6" s="136">
        <f>SUM(B6:N6)</f>
        <v>11962757.430030001</v>
      </c>
    </row>
    <row r="7" spans="1:15" ht="17.25" customHeight="1" x14ac:dyDescent="0.2">
      <c r="A7" s="156" t="s">
        <v>18</v>
      </c>
      <c r="B7" s="133">
        <v>83777.649999999994</v>
      </c>
      <c r="C7" s="133">
        <v>27938.277999999998</v>
      </c>
      <c r="D7" s="133">
        <v>55967</v>
      </c>
      <c r="E7" s="133">
        <v>338.048</v>
      </c>
      <c r="F7" s="133">
        <v>2253.8829999999998</v>
      </c>
      <c r="G7" s="133">
        <v>12611.816999999999</v>
      </c>
      <c r="H7" s="137">
        <v>884.81548999999995</v>
      </c>
      <c r="I7" s="133">
        <v>0</v>
      </c>
      <c r="J7" s="133">
        <v>9442</v>
      </c>
      <c r="K7" s="133">
        <v>35200.752</v>
      </c>
      <c r="L7" s="133">
        <v>863.11</v>
      </c>
      <c r="M7" s="133">
        <v>76275.785999999993</v>
      </c>
      <c r="N7" s="133">
        <v>3245</v>
      </c>
      <c r="O7" s="138">
        <f>SUM(B7:N7)</f>
        <v>308798.13948999997</v>
      </c>
    </row>
    <row r="8" spans="1:15" ht="17.25" customHeight="1" x14ac:dyDescent="0.2">
      <c r="A8" s="156" t="s">
        <v>19</v>
      </c>
      <c r="B8" s="139">
        <f t="shared" ref="B8:I8" si="0">B6-B7</f>
        <v>1826916.1410000001</v>
      </c>
      <c r="C8" s="139">
        <f t="shared" si="0"/>
        <v>5998896.1832999997</v>
      </c>
      <c r="D8" s="139">
        <f t="shared" si="0"/>
        <v>185692</v>
      </c>
      <c r="E8" s="139">
        <f t="shared" si="0"/>
        <v>6693.6909999999998</v>
      </c>
      <c r="F8" s="139">
        <f t="shared" si="0"/>
        <v>101320.32399999999</v>
      </c>
      <c r="G8" s="139">
        <f t="shared" si="0"/>
        <v>184400.26299999998</v>
      </c>
      <c r="H8" s="139">
        <f t="shared" si="0"/>
        <v>7431.2292399999997</v>
      </c>
      <c r="I8" s="139">
        <f t="shared" si="0"/>
        <v>321913.821</v>
      </c>
      <c r="J8" s="139">
        <f>(J6-J7)</f>
        <v>59611.997000000003</v>
      </c>
      <c r="K8" s="139">
        <f>(K6-K7)</f>
        <v>340378.65700000001</v>
      </c>
      <c r="L8" s="139">
        <f>(L6-L7)</f>
        <v>22033.263999999999</v>
      </c>
      <c r="M8" s="139">
        <f>(M6-M7)</f>
        <v>2555757.7860000003</v>
      </c>
      <c r="N8" s="139">
        <f>N6-N7</f>
        <v>42913.934000000001</v>
      </c>
      <c r="O8" s="138">
        <f>SUM(B8:N8)</f>
        <v>11653959.29054</v>
      </c>
    </row>
    <row r="9" spans="1:15" ht="29.25" customHeight="1" x14ac:dyDescent="0.2">
      <c r="A9" s="156" t="s">
        <v>20</v>
      </c>
      <c r="B9" s="133">
        <v>2230319.9380000001</v>
      </c>
      <c r="C9" s="133">
        <v>1724628.463</v>
      </c>
      <c r="D9" s="133">
        <v>85216</v>
      </c>
      <c r="E9" s="133">
        <v>5872.7190000000001</v>
      </c>
      <c r="F9" s="133">
        <v>113188.825</v>
      </c>
      <c r="G9" s="133">
        <v>111201.792</v>
      </c>
      <c r="H9" s="137">
        <v>5697.0419099999999</v>
      </c>
      <c r="I9" s="133">
        <v>240556.144</v>
      </c>
      <c r="J9" s="133">
        <v>22028.087</v>
      </c>
      <c r="K9" s="133">
        <v>140874.628</v>
      </c>
      <c r="L9" s="133">
        <v>1224.412</v>
      </c>
      <c r="M9" s="133">
        <v>1165821.2720000001</v>
      </c>
      <c r="N9" s="133">
        <v>32585.587</v>
      </c>
      <c r="O9" s="138">
        <f>SUM(B9:N9)</f>
        <v>5879214.9089100007</v>
      </c>
    </row>
    <row r="10" spans="1:15" ht="29.25" customHeight="1" x14ac:dyDescent="0.2">
      <c r="A10" s="156" t="s">
        <v>21</v>
      </c>
      <c r="B10" s="133">
        <f>25965.765-22887.746</f>
        <v>3078.0190000000002</v>
      </c>
      <c r="C10" s="133">
        <v>6462.7380000000003</v>
      </c>
      <c r="D10" s="133">
        <v>9650</v>
      </c>
      <c r="E10" s="133">
        <v>504.97300000000001</v>
      </c>
      <c r="F10" s="133">
        <v>0</v>
      </c>
      <c r="G10" s="133">
        <v>356.61599999999999</v>
      </c>
      <c r="H10" s="137">
        <v>624.10351000000003</v>
      </c>
      <c r="I10" s="133">
        <v>0</v>
      </c>
      <c r="J10" s="133">
        <f>1500+476.785+27.069+3333.903+405.487</f>
        <v>5743.2439999999997</v>
      </c>
      <c r="K10" s="133">
        <f>223.349+5000+1236-19650.917+182147.021</f>
        <v>168955.45300000001</v>
      </c>
      <c r="L10" s="133">
        <v>0</v>
      </c>
      <c r="M10" s="133">
        <f>16928+3400</f>
        <v>20328</v>
      </c>
      <c r="N10" s="133" t="s">
        <v>39</v>
      </c>
      <c r="O10" s="138">
        <f>SUM(B10:N10)</f>
        <v>215703.14651000002</v>
      </c>
    </row>
    <row r="11" spans="1:15" ht="29.25" customHeight="1" x14ac:dyDescent="0.2">
      <c r="A11" s="157" t="s">
        <v>22</v>
      </c>
      <c r="B11" s="133"/>
      <c r="C11" s="133"/>
      <c r="D11" s="133"/>
      <c r="E11" s="133"/>
      <c r="F11" s="133"/>
      <c r="G11" s="133"/>
      <c r="H11" s="134"/>
      <c r="I11" s="135"/>
      <c r="J11" s="135"/>
      <c r="K11" s="135"/>
      <c r="L11" s="135"/>
      <c r="M11" s="135"/>
      <c r="N11" s="135"/>
      <c r="O11" s="136"/>
    </row>
    <row r="12" spans="1:15" ht="17.25" customHeight="1" x14ac:dyDescent="0.2">
      <c r="A12" s="156" t="s">
        <v>17</v>
      </c>
      <c r="B12" s="133">
        <v>1411638.274</v>
      </c>
      <c r="C12" s="133">
        <v>3555954.3059999999</v>
      </c>
      <c r="D12" s="133">
        <v>166364</v>
      </c>
      <c r="E12" s="133">
        <v>11839.198</v>
      </c>
      <c r="F12" s="133">
        <v>94250.456000000006</v>
      </c>
      <c r="G12" s="133">
        <v>140056.31899999999</v>
      </c>
      <c r="H12" s="134">
        <v>8349.5184900000004</v>
      </c>
      <c r="I12" s="135">
        <v>305670.86</v>
      </c>
      <c r="J12" s="135">
        <v>36354.817999999999</v>
      </c>
      <c r="K12" s="135">
        <v>201198.10699999999</v>
      </c>
      <c r="L12" s="135">
        <f>9813.234+27.207+460.728+295.507+6710.979</f>
        <v>17307.654999999999</v>
      </c>
      <c r="M12" s="135">
        <v>1800832.324</v>
      </c>
      <c r="N12" s="135">
        <v>36991.499000000003</v>
      </c>
      <c r="O12" s="136">
        <f>SUM(B12:N12)</f>
        <v>7786807.3344900003</v>
      </c>
    </row>
    <row r="13" spans="1:15" ht="17.25" customHeight="1" x14ac:dyDescent="0.2">
      <c r="A13" s="156" t="s">
        <v>23</v>
      </c>
      <c r="B13" s="133">
        <v>14587.462</v>
      </c>
      <c r="C13" s="133">
        <v>10432.214</v>
      </c>
      <c r="D13" s="133">
        <v>17514</v>
      </c>
      <c r="E13" s="133">
        <v>0</v>
      </c>
      <c r="F13" s="133">
        <v>0</v>
      </c>
      <c r="G13" s="133">
        <v>2760.4250000000002</v>
      </c>
      <c r="H13" s="137">
        <v>168.23699999999999</v>
      </c>
      <c r="I13" s="133">
        <v>0</v>
      </c>
      <c r="J13" s="133">
        <v>500</v>
      </c>
      <c r="K13" s="133">
        <v>6170.7269999999999</v>
      </c>
      <c r="L13" s="133">
        <v>150</v>
      </c>
      <c r="M13" s="133">
        <v>23481.419000000002</v>
      </c>
      <c r="N13" s="133">
        <v>193.59100000000001</v>
      </c>
      <c r="O13" s="138">
        <f>SUM(B13:N13)</f>
        <v>75958.074999999997</v>
      </c>
    </row>
    <row r="14" spans="1:15" ht="17.25" customHeight="1" x14ac:dyDescent="0.2">
      <c r="A14" s="156" t="s">
        <v>19</v>
      </c>
      <c r="B14" s="139">
        <f t="shared" ref="B14:I14" si="1">B12-B13</f>
        <v>1397050.8119999999</v>
      </c>
      <c r="C14" s="139">
        <f t="shared" si="1"/>
        <v>3545522.0919999997</v>
      </c>
      <c r="D14" s="139">
        <f t="shared" si="1"/>
        <v>148850</v>
      </c>
      <c r="E14" s="139">
        <f t="shared" si="1"/>
        <v>11839.198</v>
      </c>
      <c r="F14" s="139">
        <f>F12-F13</f>
        <v>94250.456000000006</v>
      </c>
      <c r="G14" s="139">
        <f>(G12-G13)</f>
        <v>137295.894</v>
      </c>
      <c r="H14" s="139">
        <f t="shared" si="1"/>
        <v>8181.2814900000003</v>
      </c>
      <c r="I14" s="139">
        <f t="shared" si="1"/>
        <v>305670.86</v>
      </c>
      <c r="J14" s="139">
        <f>(J12-J13)</f>
        <v>35854.817999999999</v>
      </c>
      <c r="K14" s="139">
        <f>(K12-K13)</f>
        <v>195027.37999999998</v>
      </c>
      <c r="L14" s="139">
        <f>(L12-L13)</f>
        <v>17157.654999999999</v>
      </c>
      <c r="M14" s="139">
        <f>(M12-M13)</f>
        <v>1777350.905</v>
      </c>
      <c r="N14" s="139">
        <f>N12-N13</f>
        <v>36797.908000000003</v>
      </c>
      <c r="O14" s="138">
        <f>SUM(B14:N14)</f>
        <v>7710849.2594900001</v>
      </c>
    </row>
    <row r="15" spans="1:15" ht="30" customHeight="1" x14ac:dyDescent="0.2">
      <c r="A15" s="157" t="s">
        <v>24</v>
      </c>
      <c r="B15" s="133"/>
      <c r="C15" s="133"/>
      <c r="D15" s="133"/>
      <c r="E15" s="133"/>
      <c r="F15" s="133"/>
      <c r="G15" s="133"/>
      <c r="H15" s="134"/>
      <c r="I15" s="135"/>
      <c r="J15" s="135"/>
      <c r="K15" s="135"/>
      <c r="L15" s="135"/>
      <c r="M15" s="135"/>
      <c r="N15" s="135"/>
      <c r="O15" s="136"/>
    </row>
    <row r="16" spans="1:15" ht="17.25" customHeight="1" x14ac:dyDescent="0.2">
      <c r="A16" s="156" t="s">
        <v>25</v>
      </c>
      <c r="B16" s="133">
        <v>12828.295</v>
      </c>
      <c r="C16" s="133">
        <v>2951.712</v>
      </c>
      <c r="D16" s="133">
        <v>28178</v>
      </c>
      <c r="E16" s="133">
        <v>16.503</v>
      </c>
      <c r="F16" s="133">
        <v>2220.9789999999998</v>
      </c>
      <c r="G16" s="133">
        <v>4237.7280000000001</v>
      </c>
      <c r="H16" s="134">
        <v>85.768470000000008</v>
      </c>
      <c r="I16" s="135">
        <v>0</v>
      </c>
      <c r="J16" s="135">
        <v>862.28800000000001</v>
      </c>
      <c r="K16" s="135">
        <v>10353.448</v>
      </c>
      <c r="L16" s="135">
        <v>3183.0419999999999</v>
      </c>
      <c r="M16" s="135">
        <v>13537.804</v>
      </c>
      <c r="N16" s="135">
        <v>1266.5260000000001</v>
      </c>
      <c r="O16" s="136">
        <f t="shared" ref="O16:O22" si="2">SUM(B16:N16)</f>
        <v>79722.093470000007</v>
      </c>
    </row>
    <row r="17" spans="1:15" ht="17.25" customHeight="1" x14ac:dyDescent="0.2">
      <c r="A17" s="156" t="s">
        <v>26</v>
      </c>
      <c r="B17" s="133">
        <v>85535.798999999999</v>
      </c>
      <c r="C17" s="133">
        <v>150934.81899999999</v>
      </c>
      <c r="D17" s="133">
        <v>14113</v>
      </c>
      <c r="E17" s="133">
        <v>116.184</v>
      </c>
      <c r="F17" s="133">
        <v>7761.0039999999999</v>
      </c>
      <c r="G17" s="133">
        <v>4820.6760000000004</v>
      </c>
      <c r="H17" s="137">
        <v>381.47005999999999</v>
      </c>
      <c r="I17" s="133">
        <v>26194.914000000001</v>
      </c>
      <c r="J17" s="133">
        <v>5698.9380000000001</v>
      </c>
      <c r="K17" s="133">
        <v>21309.388999999999</v>
      </c>
      <c r="L17" s="133">
        <v>0</v>
      </c>
      <c r="M17" s="133">
        <v>57121.457000000002</v>
      </c>
      <c r="N17" s="133">
        <v>2647.0540000000001</v>
      </c>
      <c r="O17" s="138">
        <f t="shared" si="2"/>
        <v>376634.70406000002</v>
      </c>
    </row>
    <row r="18" spans="1:15" ht="17.25" customHeight="1" x14ac:dyDescent="0.2">
      <c r="A18" s="156" t="s">
        <v>19</v>
      </c>
      <c r="B18" s="140">
        <f>B16-B17</f>
        <v>-72707.504000000001</v>
      </c>
      <c r="C18" s="140">
        <f>C16-C17</f>
        <v>-147983.10699999999</v>
      </c>
      <c r="D18" s="140">
        <f>D16-D17</f>
        <v>14065</v>
      </c>
      <c r="E18" s="140">
        <f t="shared" ref="E18:N18" si="3">E16-E17</f>
        <v>-99.680999999999997</v>
      </c>
      <c r="F18" s="140">
        <f>F16-F17</f>
        <v>-5540.0249999999996</v>
      </c>
      <c r="G18" s="140">
        <f>(G16-G17)</f>
        <v>-582.94800000000032</v>
      </c>
      <c r="H18" s="140">
        <f t="shared" si="3"/>
        <v>-295.70159000000001</v>
      </c>
      <c r="I18" s="140">
        <f t="shared" si="3"/>
        <v>-26194.914000000001</v>
      </c>
      <c r="J18" s="140">
        <f t="shared" si="3"/>
        <v>-4836.6499999999996</v>
      </c>
      <c r="K18" s="140">
        <f>(K16-K17)</f>
        <v>-10955.940999999999</v>
      </c>
      <c r="L18" s="140">
        <f>(L16-L17)</f>
        <v>3183.0419999999999</v>
      </c>
      <c r="M18" s="140">
        <f t="shared" si="3"/>
        <v>-43583.653000000006</v>
      </c>
      <c r="N18" s="140">
        <f t="shared" si="3"/>
        <v>-1380.528</v>
      </c>
      <c r="O18" s="141">
        <f t="shared" si="2"/>
        <v>-296912.61059</v>
      </c>
    </row>
    <row r="19" spans="1:15" ht="30" customHeight="1" x14ac:dyDescent="0.2">
      <c r="A19" s="156" t="s">
        <v>27</v>
      </c>
      <c r="B19" s="133">
        <v>213678.64199999999</v>
      </c>
      <c r="C19" s="133">
        <v>520272.68400000001</v>
      </c>
      <c r="D19" s="133">
        <v>67525</v>
      </c>
      <c r="E19" s="133">
        <f>1579+93</f>
        <v>1672</v>
      </c>
      <c r="F19" s="133">
        <v>37894.273999999998</v>
      </c>
      <c r="G19" s="133">
        <v>43357.510999999999</v>
      </c>
      <c r="H19" s="137">
        <v>1371.1889900000001</v>
      </c>
      <c r="I19" s="133">
        <v>29529.8</v>
      </c>
      <c r="J19" s="133">
        <v>13182.494000000001</v>
      </c>
      <c r="K19" s="133">
        <v>94732.036999999997</v>
      </c>
      <c r="L19" s="133">
        <v>12276.672</v>
      </c>
      <c r="M19" s="133">
        <v>110205.41899999999</v>
      </c>
      <c r="N19" s="133">
        <v>10752.009</v>
      </c>
      <c r="O19" s="138">
        <f t="shared" si="2"/>
        <v>1156449.7309900001</v>
      </c>
    </row>
    <row r="20" spans="1:15" ht="30" customHeight="1" x14ac:dyDescent="0.2">
      <c r="A20" s="156" t="s">
        <v>28</v>
      </c>
      <c r="B20" s="133">
        <v>5875.2269999999999</v>
      </c>
      <c r="C20" s="133">
        <v>7.81</v>
      </c>
      <c r="D20" s="133">
        <v>0</v>
      </c>
      <c r="E20" s="133">
        <v>621.56200000000001</v>
      </c>
      <c r="F20" s="133">
        <v>2281</v>
      </c>
      <c r="G20" s="133">
        <v>0</v>
      </c>
      <c r="H20" s="137">
        <v>599.11800000000005</v>
      </c>
      <c r="I20" s="133">
        <v>28402.756000000001</v>
      </c>
      <c r="J20" s="133">
        <v>0</v>
      </c>
      <c r="K20" s="133">
        <v>750</v>
      </c>
      <c r="L20" s="133">
        <v>0</v>
      </c>
      <c r="M20" s="133">
        <v>29741</v>
      </c>
      <c r="N20" s="133">
        <v>2342.5430000000001</v>
      </c>
      <c r="O20" s="138">
        <f t="shared" si="2"/>
        <v>70621.016000000003</v>
      </c>
    </row>
    <row r="21" spans="1:15" ht="30" customHeight="1" x14ac:dyDescent="0.2">
      <c r="A21" s="156" t="s">
        <v>29</v>
      </c>
      <c r="B21" s="133">
        <v>18427307.219999999</v>
      </c>
      <c r="C21" s="133">
        <v>10435976.944</v>
      </c>
      <c r="D21" s="133">
        <v>1514989</v>
      </c>
      <c r="E21" s="133">
        <v>67387.106</v>
      </c>
      <c r="F21" s="133">
        <v>767407.174</v>
      </c>
      <c r="G21" s="133">
        <v>1433540.1939999999</v>
      </c>
      <c r="H21" s="137">
        <v>64365.693149999999</v>
      </c>
      <c r="I21" s="133">
        <v>2273042.7629999998</v>
      </c>
      <c r="J21" s="133">
        <v>552362.82900000003</v>
      </c>
      <c r="K21" s="133">
        <v>2971331.395</v>
      </c>
      <c r="L21" s="133">
        <v>48449.902999999998</v>
      </c>
      <c r="M21" s="133">
        <v>20373369.543000001</v>
      </c>
      <c r="N21" s="133">
        <v>357217.90600000002</v>
      </c>
      <c r="O21" s="138">
        <f t="shared" si="2"/>
        <v>59286747.670149997</v>
      </c>
    </row>
    <row r="22" spans="1:15" ht="30" customHeight="1" x14ac:dyDescent="0.2">
      <c r="A22" s="158" t="s">
        <v>30</v>
      </c>
      <c r="B22" s="142">
        <v>20811301.544</v>
      </c>
      <c r="C22" s="142">
        <v>13786458.032</v>
      </c>
      <c r="D22" s="142">
        <v>1651207</v>
      </c>
      <c r="E22" s="142">
        <f>E8+E9+E10-E14+E18-E19-E20+E21</f>
        <v>66226.047999999995</v>
      </c>
      <c r="F22" s="142">
        <v>835328.92200000002</v>
      </c>
      <c r="G22" s="142">
        <v>1548206.862</v>
      </c>
      <c r="H22" s="143">
        <v>65180.165259999994</v>
      </c>
      <c r="I22" s="142">
        <v>2443308.605</v>
      </c>
      <c r="J22" s="142">
        <v>585302.50600000005</v>
      </c>
      <c r="K22" s="144">
        <v>3307442.6869999999</v>
      </c>
      <c r="L22" s="144">
        <v>38596.902000000002</v>
      </c>
      <c r="M22" s="144">
        <v>22796483.068999998</v>
      </c>
      <c r="N22" s="142">
        <v>384566.87199999997</v>
      </c>
      <c r="O22" s="145">
        <f t="shared" si="2"/>
        <v>68319609.214259997</v>
      </c>
    </row>
    <row r="23" spans="1:15" ht="20.25" customHeight="1" x14ac:dyDescent="0.2">
      <c r="A23" s="159"/>
      <c r="B23" s="146"/>
      <c r="C23" s="146"/>
      <c r="D23" s="146"/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7"/>
    </row>
    <row r="24" spans="1:15" s="10" customFormat="1" x14ac:dyDescent="0.2">
      <c r="A24" s="25" t="s">
        <v>76</v>
      </c>
      <c r="B24" s="148"/>
      <c r="C24" s="148"/>
      <c r="D24" s="148"/>
      <c r="E24" s="148"/>
      <c r="F24" s="148"/>
      <c r="G24" s="146"/>
      <c r="H24" s="149"/>
      <c r="I24" s="148"/>
      <c r="J24" s="148"/>
      <c r="K24" s="146"/>
      <c r="L24" s="146"/>
      <c r="M24" s="148"/>
      <c r="N24" s="148"/>
      <c r="O24" s="150"/>
    </row>
    <row r="25" spans="1:15" x14ac:dyDescent="0.2">
      <c r="M25" s="148"/>
      <c r="O25" s="150"/>
    </row>
    <row r="26" spans="1:15" x14ac:dyDescent="0.2">
      <c r="M26" s="151"/>
      <c r="O26" s="150"/>
    </row>
    <row r="27" spans="1:15" x14ac:dyDescent="0.2">
      <c r="M27" s="151"/>
      <c r="O27" s="150"/>
    </row>
    <row r="28" spans="1:15" x14ac:dyDescent="0.2">
      <c r="M28" s="151"/>
      <c r="O28" s="150"/>
    </row>
    <row r="29" spans="1:15" x14ac:dyDescent="0.2">
      <c r="M29" s="151"/>
      <c r="O29" s="152"/>
    </row>
  </sheetData>
  <mergeCells count="2">
    <mergeCell ref="A1:O1"/>
    <mergeCell ref="A2:O2"/>
  </mergeCells>
  <printOptions horizontalCentered="1"/>
  <pageMargins left="0.5" right="0.5" top="0.5" bottom="0.5" header="0.25" footer="0.25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zoomScaleNormal="100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E34" sqref="E34"/>
    </sheetView>
  </sheetViews>
  <sheetFormatPr defaultColWidth="9" defaultRowHeight="12.75" x14ac:dyDescent="0.2"/>
  <cols>
    <col min="1" max="1" width="41.28515625" style="63" bestFit="1" customWidth="1"/>
    <col min="2" max="2" width="13.42578125" style="61" customWidth="1"/>
    <col min="3" max="4" width="11.85546875" style="61" bestFit="1" customWidth="1"/>
    <col min="5" max="5" width="10.5703125" style="61" customWidth="1"/>
    <col min="6" max="6" width="9.5703125" style="61" customWidth="1"/>
    <col min="7" max="7" width="11.140625" style="61" customWidth="1"/>
    <col min="8" max="8" width="12.140625" style="61" bestFit="1" customWidth="1"/>
    <col min="9" max="9" width="14" style="61" customWidth="1"/>
    <col min="10" max="10" width="14.28515625" style="61" bestFit="1" customWidth="1"/>
    <col min="11" max="11" width="9.85546875" style="61" customWidth="1"/>
    <col min="12" max="12" width="11.140625" style="61" customWidth="1"/>
    <col min="13" max="13" width="16" style="61" customWidth="1"/>
    <col min="14" max="14" width="9.85546875" style="61" customWidth="1"/>
    <col min="15" max="15" width="18.140625" style="63" bestFit="1" customWidth="1"/>
    <col min="16" max="16" width="14" style="1" bestFit="1" customWidth="1"/>
    <col min="17" max="16384" width="9" style="1"/>
  </cols>
  <sheetData>
    <row r="1" spans="1:16" s="74" customFormat="1" ht="20.100000000000001" customHeight="1" x14ac:dyDescent="0.25">
      <c r="A1" s="200" t="s">
        <v>0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</row>
    <row r="2" spans="1:16" s="74" customFormat="1" ht="20.100000000000001" customHeight="1" x14ac:dyDescent="0.25">
      <c r="A2" s="200" t="s">
        <v>31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</row>
    <row r="3" spans="1:16" ht="17.25" customHeight="1" x14ac:dyDescent="0.2"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 t="s">
        <v>1</v>
      </c>
    </row>
    <row r="4" spans="1:16" s="7" customFormat="1" ht="25.5" x14ac:dyDescent="0.2">
      <c r="A4" s="125"/>
      <c r="B4" s="125" t="s">
        <v>2</v>
      </c>
      <c r="C4" s="125" t="s">
        <v>3</v>
      </c>
      <c r="D4" s="125" t="s">
        <v>4</v>
      </c>
      <c r="E4" s="125" t="s">
        <v>5</v>
      </c>
      <c r="F4" s="125" t="s">
        <v>6</v>
      </c>
      <c r="G4" s="125" t="s">
        <v>7</v>
      </c>
      <c r="H4" s="125" t="s">
        <v>8</v>
      </c>
      <c r="I4" s="125" t="s">
        <v>9</v>
      </c>
      <c r="J4" s="125" t="s">
        <v>10</v>
      </c>
      <c r="K4" s="125" t="s">
        <v>11</v>
      </c>
      <c r="L4" s="125" t="s">
        <v>12</v>
      </c>
      <c r="M4" s="125" t="s">
        <v>13</v>
      </c>
      <c r="N4" s="125" t="s">
        <v>14</v>
      </c>
      <c r="O4" s="162" t="s">
        <v>15</v>
      </c>
    </row>
    <row r="5" spans="1:16" ht="30" customHeight="1" x14ac:dyDescent="0.2">
      <c r="A5" s="154" t="s">
        <v>16</v>
      </c>
      <c r="B5" s="163"/>
      <c r="C5" s="163"/>
      <c r="D5" s="163"/>
      <c r="E5" s="164"/>
      <c r="F5" s="163"/>
      <c r="G5" s="163"/>
      <c r="H5" s="163"/>
      <c r="I5" s="163"/>
      <c r="J5" s="163"/>
      <c r="K5" s="163"/>
      <c r="L5" s="163"/>
      <c r="M5" s="163"/>
      <c r="N5" s="163"/>
      <c r="O5" s="165"/>
    </row>
    <row r="6" spans="1:16" ht="17.25" customHeight="1" x14ac:dyDescent="0.2">
      <c r="A6" s="156" t="s">
        <v>17</v>
      </c>
      <c r="B6" s="166">
        <f>215303+27219</f>
        <v>242522</v>
      </c>
      <c r="C6" s="166">
        <v>1677710</v>
      </c>
      <c r="D6" s="166">
        <v>4305970</v>
      </c>
      <c r="E6" s="167">
        <v>22437.4</v>
      </c>
      <c r="F6" s="166">
        <v>7797</v>
      </c>
      <c r="G6" s="166">
        <v>97669</v>
      </c>
      <c r="H6" s="168">
        <v>9060</v>
      </c>
      <c r="I6" s="166">
        <v>208421</v>
      </c>
      <c r="J6" s="166">
        <v>307186</v>
      </c>
      <c r="K6" s="166">
        <v>117700.519</v>
      </c>
      <c r="L6" s="166">
        <v>340456</v>
      </c>
      <c r="M6" s="166">
        <v>2125594.8679999998</v>
      </c>
      <c r="N6" s="166">
        <v>47130.372000000003</v>
      </c>
      <c r="O6" s="169">
        <f t="shared" ref="O6:O22" si="0">SUM(B6:N6)</f>
        <v>9509654.159</v>
      </c>
      <c r="P6" s="3"/>
    </row>
    <row r="7" spans="1:16" ht="17.25" customHeight="1" x14ac:dyDescent="0.2">
      <c r="A7" s="156" t="s">
        <v>18</v>
      </c>
      <c r="B7" s="170">
        <v>43439</v>
      </c>
      <c r="C7" s="170">
        <v>74010</v>
      </c>
      <c r="D7" s="170">
        <v>25785</v>
      </c>
      <c r="E7" s="167">
        <v>712.3</v>
      </c>
      <c r="F7" s="171">
        <v>460</v>
      </c>
      <c r="G7" s="170">
        <v>5135</v>
      </c>
      <c r="H7" s="172">
        <v>612.77700000000004</v>
      </c>
      <c r="I7" s="170">
        <v>9561</v>
      </c>
      <c r="J7" s="170">
        <v>0</v>
      </c>
      <c r="K7" s="170">
        <v>13099.555</v>
      </c>
      <c r="L7" s="170">
        <v>22793</v>
      </c>
      <c r="M7" s="166">
        <v>74007.808999999994</v>
      </c>
      <c r="N7" s="171">
        <v>3231.364</v>
      </c>
      <c r="O7" s="169">
        <f t="shared" si="0"/>
        <v>272846.80499999999</v>
      </c>
    </row>
    <row r="8" spans="1:16" ht="17.25" customHeight="1" x14ac:dyDescent="0.2">
      <c r="A8" s="156" t="s">
        <v>19</v>
      </c>
      <c r="B8" s="173">
        <f t="shared" ref="B8:N8" si="1">(B6-B7)</f>
        <v>199083</v>
      </c>
      <c r="C8" s="173">
        <f t="shared" si="1"/>
        <v>1603700</v>
      </c>
      <c r="D8" s="173">
        <f t="shared" si="1"/>
        <v>4280185</v>
      </c>
      <c r="E8" s="173">
        <f t="shared" si="1"/>
        <v>21725.100000000002</v>
      </c>
      <c r="F8" s="174">
        <f t="shared" si="1"/>
        <v>7337</v>
      </c>
      <c r="G8" s="173">
        <f t="shared" si="1"/>
        <v>92534</v>
      </c>
      <c r="H8" s="175">
        <f t="shared" si="1"/>
        <v>8447.223</v>
      </c>
      <c r="I8" s="173">
        <f t="shared" si="1"/>
        <v>198860</v>
      </c>
      <c r="J8" s="173">
        <f t="shared" si="1"/>
        <v>307186</v>
      </c>
      <c r="K8" s="173">
        <f t="shared" si="1"/>
        <v>104600.96400000001</v>
      </c>
      <c r="L8" s="173">
        <f t="shared" si="1"/>
        <v>317663</v>
      </c>
      <c r="M8" s="173">
        <f t="shared" si="1"/>
        <v>2051587.0589999999</v>
      </c>
      <c r="N8" s="174">
        <f t="shared" si="1"/>
        <v>43899.008000000002</v>
      </c>
      <c r="O8" s="169">
        <f t="shared" si="0"/>
        <v>9236807.3539999984</v>
      </c>
      <c r="P8" s="4"/>
    </row>
    <row r="9" spans="1:16" ht="29.25" customHeight="1" x14ac:dyDescent="0.2">
      <c r="A9" s="156" t="s">
        <v>20</v>
      </c>
      <c r="B9" s="170">
        <v>84190</v>
      </c>
      <c r="C9" s="170">
        <v>2798646</v>
      </c>
      <c r="D9" s="170">
        <v>833284</v>
      </c>
      <c r="E9" s="176">
        <v>2907.1</v>
      </c>
      <c r="F9" s="171">
        <v>6845</v>
      </c>
      <c r="G9" s="170">
        <v>116887</v>
      </c>
      <c r="H9" s="177">
        <v>5695</v>
      </c>
      <c r="I9" s="170">
        <v>80649</v>
      </c>
      <c r="J9" s="170">
        <v>226733</v>
      </c>
      <c r="K9" s="170">
        <v>38561.279999999999</v>
      </c>
      <c r="L9" s="170">
        <v>139618</v>
      </c>
      <c r="M9" s="166">
        <v>1145569.848</v>
      </c>
      <c r="N9" s="171">
        <v>38772.866999999998</v>
      </c>
      <c r="O9" s="169">
        <f t="shared" si="0"/>
        <v>5518358.0949999997</v>
      </c>
      <c r="P9" s="5"/>
    </row>
    <row r="10" spans="1:16" ht="29.25" customHeight="1" x14ac:dyDescent="0.2">
      <c r="A10" s="156" t="s">
        <v>21</v>
      </c>
      <c r="B10" s="170">
        <v>-32655</v>
      </c>
      <c r="C10" s="170">
        <f>(12225703-38199764)/1000</f>
        <v>-25974.061000000002</v>
      </c>
      <c r="D10" s="170">
        <v>5100</v>
      </c>
      <c r="E10" s="176">
        <v>0</v>
      </c>
      <c r="F10" s="171">
        <v>26</v>
      </c>
      <c r="G10" s="170">
        <v>0</v>
      </c>
      <c r="H10" s="172">
        <v>12.78002</v>
      </c>
      <c r="I10" s="170">
        <v>178793</v>
      </c>
      <c r="J10" s="170">
        <v>0</v>
      </c>
      <c r="K10" s="170">
        <v>8604.4930000000004</v>
      </c>
      <c r="L10" s="170">
        <f>(-14251+5000000+16001266+11650284-884586+385584198+65530)/1000</f>
        <v>417402.44099999999</v>
      </c>
      <c r="M10" s="166">
        <v>2050.8939999999998</v>
      </c>
      <c r="N10" s="171">
        <v>2118</v>
      </c>
      <c r="O10" s="169">
        <f t="shared" si="0"/>
        <v>555478.54701999994</v>
      </c>
    </row>
    <row r="11" spans="1:16" ht="29.25" customHeight="1" x14ac:dyDescent="0.2">
      <c r="A11" s="186" t="s">
        <v>22</v>
      </c>
      <c r="B11" s="166"/>
      <c r="C11" s="166"/>
      <c r="D11" s="166"/>
      <c r="E11" s="176"/>
      <c r="F11" s="178"/>
      <c r="G11" s="166"/>
      <c r="H11" s="168"/>
      <c r="I11" s="166"/>
      <c r="J11" s="166"/>
      <c r="K11" s="166"/>
      <c r="L11" s="166"/>
      <c r="M11" s="166"/>
      <c r="N11" s="178"/>
      <c r="O11" s="169">
        <f t="shared" si="0"/>
        <v>0</v>
      </c>
    </row>
    <row r="12" spans="1:16" ht="17.25" customHeight="1" x14ac:dyDescent="0.2">
      <c r="A12" s="156" t="s">
        <v>17</v>
      </c>
      <c r="B12" s="166">
        <v>135728</v>
      </c>
      <c r="C12" s="166">
        <v>1341072</v>
      </c>
      <c r="D12" s="166">
        <v>2314039</v>
      </c>
      <c r="E12" s="167">
        <f>(10112524+647500+1898239+5538453+48905)/1000</f>
        <v>18245.620999999999</v>
      </c>
      <c r="F12" s="178">
        <v>10355</v>
      </c>
      <c r="G12" s="166">
        <v>80052</v>
      </c>
      <c r="H12" s="168">
        <f>2609.697+65.9+241.71974+3263</f>
        <v>6180.3167400000002</v>
      </c>
      <c r="I12" s="166">
        <v>152497.4</v>
      </c>
      <c r="J12" s="166">
        <v>289041</v>
      </c>
      <c r="K12" s="166">
        <v>52104.875999999997</v>
      </c>
      <c r="L12" s="166">
        <v>194296</v>
      </c>
      <c r="M12" s="166">
        <v>1459673.496</v>
      </c>
      <c r="N12" s="178">
        <v>37528.777999999998</v>
      </c>
      <c r="O12" s="169">
        <f t="shared" si="0"/>
        <v>6090813.4877400007</v>
      </c>
    </row>
    <row r="13" spans="1:16" ht="17.25" customHeight="1" x14ac:dyDescent="0.2">
      <c r="A13" s="156" t="s">
        <v>23</v>
      </c>
      <c r="B13" s="170">
        <v>6448</v>
      </c>
      <c r="C13" s="170">
        <v>24495</v>
      </c>
      <c r="D13" s="170">
        <v>15433</v>
      </c>
      <c r="E13" s="167">
        <v>349.2</v>
      </c>
      <c r="F13" s="171">
        <v>0</v>
      </c>
      <c r="G13" s="170">
        <v>0</v>
      </c>
      <c r="H13" s="172">
        <v>0</v>
      </c>
      <c r="I13" s="170">
        <v>1779.5</v>
      </c>
      <c r="J13" s="170">
        <v>0</v>
      </c>
      <c r="K13" s="170">
        <v>1813.654</v>
      </c>
      <c r="L13" s="170">
        <v>6110</v>
      </c>
      <c r="M13" s="166">
        <v>23833.544000000002</v>
      </c>
      <c r="N13" s="171">
        <v>340.77</v>
      </c>
      <c r="O13" s="169">
        <f t="shared" si="0"/>
        <v>80602.668000000005</v>
      </c>
    </row>
    <row r="14" spans="1:16" ht="17.25" customHeight="1" x14ac:dyDescent="0.2">
      <c r="A14" s="156" t="s">
        <v>19</v>
      </c>
      <c r="B14" s="173">
        <f t="shared" ref="B14:N14" si="2">(B12-B13)</f>
        <v>129280</v>
      </c>
      <c r="C14" s="173">
        <f t="shared" si="2"/>
        <v>1316577</v>
      </c>
      <c r="D14" s="173">
        <f t="shared" si="2"/>
        <v>2298606</v>
      </c>
      <c r="E14" s="173">
        <f t="shared" si="2"/>
        <v>17896.420999999998</v>
      </c>
      <c r="F14" s="174">
        <f t="shared" si="2"/>
        <v>10355</v>
      </c>
      <c r="G14" s="173">
        <f t="shared" si="2"/>
        <v>80052</v>
      </c>
      <c r="H14" s="175">
        <f t="shared" si="2"/>
        <v>6180.3167400000002</v>
      </c>
      <c r="I14" s="173">
        <f t="shared" si="2"/>
        <v>150717.9</v>
      </c>
      <c r="J14" s="173">
        <f t="shared" si="2"/>
        <v>289041</v>
      </c>
      <c r="K14" s="173">
        <f t="shared" si="2"/>
        <v>50291.221999999994</v>
      </c>
      <c r="L14" s="173">
        <f t="shared" si="2"/>
        <v>188186</v>
      </c>
      <c r="M14" s="173">
        <f t="shared" si="2"/>
        <v>1435839.952</v>
      </c>
      <c r="N14" s="174">
        <f t="shared" si="2"/>
        <v>37188.008000000002</v>
      </c>
      <c r="O14" s="169">
        <f t="shared" si="0"/>
        <v>6010210.8197400002</v>
      </c>
    </row>
    <row r="15" spans="1:16" ht="30" customHeight="1" x14ac:dyDescent="0.2">
      <c r="A15" s="186" t="s">
        <v>24</v>
      </c>
      <c r="B15" s="166"/>
      <c r="C15" s="166"/>
      <c r="D15" s="166"/>
      <c r="E15" s="176"/>
      <c r="F15" s="178"/>
      <c r="G15" s="166"/>
      <c r="H15" s="168"/>
      <c r="I15" s="166"/>
      <c r="J15" s="166"/>
      <c r="K15" s="166"/>
      <c r="L15" s="166"/>
      <c r="M15" s="166"/>
      <c r="N15" s="178"/>
      <c r="O15" s="169">
        <f t="shared" si="0"/>
        <v>0</v>
      </c>
    </row>
    <row r="16" spans="1:16" ht="17.25" customHeight="1" x14ac:dyDescent="0.2">
      <c r="A16" s="156" t="s">
        <v>25</v>
      </c>
      <c r="B16" s="166">
        <v>13018</v>
      </c>
      <c r="C16" s="166">
        <v>26114</v>
      </c>
      <c r="D16" s="166">
        <v>1831</v>
      </c>
      <c r="E16" s="176">
        <v>0</v>
      </c>
      <c r="F16" s="178">
        <v>28</v>
      </c>
      <c r="G16" s="166">
        <v>2064</v>
      </c>
      <c r="H16" s="168">
        <v>310.05261999999999</v>
      </c>
      <c r="I16" s="166">
        <v>3429</v>
      </c>
      <c r="J16" s="166">
        <v>0</v>
      </c>
      <c r="K16" s="166">
        <v>1433.6969999999999</v>
      </c>
      <c r="L16" s="166">
        <v>8157</v>
      </c>
      <c r="M16" s="166">
        <v>16192.525</v>
      </c>
      <c r="N16" s="178">
        <v>858.67600000000004</v>
      </c>
      <c r="O16" s="169">
        <f t="shared" si="0"/>
        <v>73435.950620000003</v>
      </c>
    </row>
    <row r="17" spans="1:15" ht="17.25" customHeight="1" x14ac:dyDescent="0.2">
      <c r="A17" s="156" t="s">
        <v>26</v>
      </c>
      <c r="B17" s="170">
        <v>8366</v>
      </c>
      <c r="C17" s="170">
        <v>106332</v>
      </c>
      <c r="D17" s="170">
        <v>111785</v>
      </c>
      <c r="E17" s="167">
        <v>3126.5</v>
      </c>
      <c r="F17" s="171">
        <v>413</v>
      </c>
      <c r="G17" s="170">
        <v>6481</v>
      </c>
      <c r="H17" s="172">
        <v>495.41039999999998</v>
      </c>
      <c r="I17" s="170">
        <v>5327</v>
      </c>
      <c r="J17" s="170">
        <v>24119</v>
      </c>
      <c r="K17" s="170">
        <v>6393.8639999999996</v>
      </c>
      <c r="L17" s="170">
        <v>24730</v>
      </c>
      <c r="M17" s="166">
        <v>56055.552000000003</v>
      </c>
      <c r="N17" s="171">
        <v>2857.44</v>
      </c>
      <c r="O17" s="169">
        <f t="shared" si="0"/>
        <v>356481.76640000002</v>
      </c>
    </row>
    <row r="18" spans="1:15" x14ac:dyDescent="0.2">
      <c r="A18" s="156" t="s">
        <v>19</v>
      </c>
      <c r="B18" s="173">
        <f t="shared" ref="B18:N18" si="3">(B16-B17)</f>
        <v>4652</v>
      </c>
      <c r="C18" s="173">
        <f t="shared" si="3"/>
        <v>-80218</v>
      </c>
      <c r="D18" s="173">
        <f t="shared" si="3"/>
        <v>-109954</v>
      </c>
      <c r="E18" s="173">
        <f t="shared" si="3"/>
        <v>-3126.5</v>
      </c>
      <c r="F18" s="174">
        <f t="shared" si="3"/>
        <v>-385</v>
      </c>
      <c r="G18" s="173">
        <f t="shared" si="3"/>
        <v>-4417</v>
      </c>
      <c r="H18" s="175">
        <f t="shared" si="3"/>
        <v>-185.35777999999999</v>
      </c>
      <c r="I18" s="173">
        <f t="shared" si="3"/>
        <v>-1898</v>
      </c>
      <c r="J18" s="173">
        <f t="shared" si="3"/>
        <v>-24119</v>
      </c>
      <c r="K18" s="173">
        <f t="shared" si="3"/>
        <v>-4960.1669999999995</v>
      </c>
      <c r="L18" s="173">
        <f t="shared" si="3"/>
        <v>-16573</v>
      </c>
      <c r="M18" s="173">
        <f t="shared" si="3"/>
        <v>-39863.027000000002</v>
      </c>
      <c r="N18" s="174">
        <f t="shared" si="3"/>
        <v>-1998.7640000000001</v>
      </c>
      <c r="O18" s="169">
        <f t="shared" si="0"/>
        <v>-283045.81578</v>
      </c>
    </row>
    <row r="19" spans="1:15" ht="30" customHeight="1" x14ac:dyDescent="0.2">
      <c r="A19" s="156" t="s">
        <v>27</v>
      </c>
      <c r="B19" s="170">
        <v>42145</v>
      </c>
      <c r="C19" s="170">
        <v>187578</v>
      </c>
      <c r="D19" s="170">
        <v>528989</v>
      </c>
      <c r="E19" s="167">
        <v>15014.4</v>
      </c>
      <c r="F19" s="171">
        <v>2363</v>
      </c>
      <c r="G19" s="170">
        <v>37256</v>
      </c>
      <c r="H19" s="177">
        <v>2132.9108999999999</v>
      </c>
      <c r="I19" s="170">
        <v>45487</v>
      </c>
      <c r="J19" s="170">
        <v>23792</v>
      </c>
      <c r="K19" s="170">
        <v>21604.635999999999</v>
      </c>
      <c r="L19" s="170">
        <v>87134</v>
      </c>
      <c r="M19" s="166">
        <v>107907.178</v>
      </c>
      <c r="N19" s="171">
        <v>11729.632</v>
      </c>
      <c r="O19" s="169">
        <f t="shared" si="0"/>
        <v>1113132.7569000002</v>
      </c>
    </row>
    <row r="20" spans="1:15" ht="30" customHeight="1" x14ac:dyDescent="0.2">
      <c r="A20" s="156" t="s">
        <v>28</v>
      </c>
      <c r="B20" s="170">
        <v>0</v>
      </c>
      <c r="C20" s="170">
        <v>7277</v>
      </c>
      <c r="D20" s="170">
        <v>8</v>
      </c>
      <c r="E20" s="176">
        <v>0</v>
      </c>
      <c r="F20" s="170">
        <v>630</v>
      </c>
      <c r="G20" s="170">
        <v>0</v>
      </c>
      <c r="H20" s="177">
        <v>549.07155</v>
      </c>
      <c r="I20" s="170">
        <v>0</v>
      </c>
      <c r="J20" s="170">
        <v>25763</v>
      </c>
      <c r="K20" s="170">
        <v>0</v>
      </c>
      <c r="L20" s="170">
        <v>0</v>
      </c>
      <c r="M20" s="166">
        <v>28129.438999999998</v>
      </c>
      <c r="N20" s="171">
        <v>3358.54</v>
      </c>
      <c r="O20" s="169">
        <f t="shared" si="0"/>
        <v>65715.05055</v>
      </c>
    </row>
    <row r="21" spans="1:15" ht="30" customHeight="1" x14ac:dyDescent="0.2">
      <c r="A21" s="156" t="s">
        <v>29</v>
      </c>
      <c r="B21" s="170">
        <v>1376688</v>
      </c>
      <c r="C21" s="170">
        <v>15642586</v>
      </c>
      <c r="D21" s="170">
        <v>8389313</v>
      </c>
      <c r="E21" s="170">
        <v>59855</v>
      </c>
      <c r="F21" s="170">
        <v>67095</v>
      </c>
      <c r="G21" s="170">
        <v>686295</v>
      </c>
      <c r="H21" s="170">
        <v>59258</v>
      </c>
      <c r="I21" s="170">
        <v>1189345</v>
      </c>
      <c r="J21" s="170">
        <v>2106474</v>
      </c>
      <c r="K21" s="170">
        <v>479059.93199999997</v>
      </c>
      <c r="L21" s="170">
        <v>2412918</v>
      </c>
      <c r="M21" s="166">
        <v>19149644.713</v>
      </c>
      <c r="N21" s="171">
        <v>320686.77799999999</v>
      </c>
      <c r="O21" s="169">
        <f t="shared" si="0"/>
        <v>51939218.422999993</v>
      </c>
    </row>
    <row r="22" spans="1:15" ht="30" customHeight="1" x14ac:dyDescent="0.2">
      <c r="A22" s="158" t="s">
        <v>30</v>
      </c>
      <c r="B22" s="179">
        <v>1514989</v>
      </c>
      <c r="C22" s="179">
        <v>18427307</v>
      </c>
      <c r="D22" s="179">
        <v>10435977</v>
      </c>
      <c r="E22" s="179">
        <v>48449.9</v>
      </c>
      <c r="F22" s="179">
        <v>67387</v>
      </c>
      <c r="G22" s="179">
        <v>773990</v>
      </c>
      <c r="H22" s="179">
        <f>5107.5611+59258.13205</f>
        <v>64365.693149999999</v>
      </c>
      <c r="I22" s="179">
        <v>1433540</v>
      </c>
      <c r="J22" s="179">
        <v>2273043</v>
      </c>
      <c r="K22" s="179">
        <v>552362.82900000003</v>
      </c>
      <c r="L22" s="179">
        <v>2971331</v>
      </c>
      <c r="M22" s="180">
        <v>19409103.142999999</v>
      </c>
      <c r="N22" s="179">
        <v>346033.79</v>
      </c>
      <c r="O22" s="181">
        <f t="shared" si="0"/>
        <v>58317879.355149999</v>
      </c>
    </row>
    <row r="23" spans="1:15" x14ac:dyDescent="0.2">
      <c r="J23" s="182"/>
    </row>
    <row r="24" spans="1:15" s="6" customFormat="1" x14ac:dyDescent="0.2">
      <c r="A24" s="25" t="s">
        <v>76</v>
      </c>
      <c r="B24" s="183"/>
      <c r="C24" s="183"/>
      <c r="D24" s="183"/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61"/>
    </row>
    <row r="25" spans="1:15" x14ac:dyDescent="0.2">
      <c r="B25" s="161"/>
      <c r="C25" s="161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61"/>
    </row>
    <row r="29" spans="1:15" x14ac:dyDescent="0.2">
      <c r="O29" s="184"/>
    </row>
    <row r="30" spans="1:15" x14ac:dyDescent="0.2">
      <c r="B30" s="185"/>
    </row>
  </sheetData>
  <mergeCells count="2">
    <mergeCell ref="A1:O1"/>
    <mergeCell ref="A2:O2"/>
  </mergeCells>
  <phoneticPr fontId="3" type="noConversion"/>
  <pageMargins left="0.75" right="0.75" top="1" bottom="1" header="0.5" footer="0.5"/>
  <pageSetup paperSize="9" scale="6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D30" sqref="D30"/>
    </sheetView>
  </sheetViews>
  <sheetFormatPr defaultColWidth="9" defaultRowHeight="12.75" x14ac:dyDescent="0.2"/>
  <cols>
    <col min="1" max="1" width="41.28515625" style="63" bestFit="1" customWidth="1"/>
    <col min="2" max="2" width="13.42578125" style="61" customWidth="1"/>
    <col min="3" max="4" width="11.85546875" style="61" bestFit="1" customWidth="1"/>
    <col min="5" max="5" width="10.5703125" style="61" customWidth="1"/>
    <col min="6" max="6" width="9.5703125" style="61" customWidth="1"/>
    <col min="7" max="7" width="11.140625" style="61" customWidth="1"/>
    <col min="8" max="8" width="8.140625" style="61" customWidth="1"/>
    <col min="9" max="9" width="14" style="61" customWidth="1"/>
    <col min="10" max="10" width="13" style="61" bestFit="1" customWidth="1"/>
    <col min="11" max="11" width="9.85546875" style="61" customWidth="1"/>
    <col min="12" max="12" width="11.140625" style="61" customWidth="1"/>
    <col min="13" max="13" width="14.85546875" style="61" bestFit="1" customWidth="1"/>
    <col min="14" max="14" width="9.85546875" style="61" customWidth="1"/>
    <col min="15" max="15" width="18.140625" style="63" bestFit="1" customWidth="1"/>
    <col min="16" max="16" width="14" style="1" bestFit="1" customWidth="1"/>
    <col min="17" max="16384" width="9" style="1"/>
  </cols>
  <sheetData>
    <row r="1" spans="1:16" s="74" customFormat="1" ht="20.100000000000001" customHeight="1" x14ac:dyDescent="0.25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</row>
    <row r="2" spans="1:16" s="74" customFormat="1" ht="20.100000000000001" customHeight="1" x14ac:dyDescent="0.25">
      <c r="A2" s="201" t="s">
        <v>72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</row>
    <row r="3" spans="1:16" ht="17.25" customHeight="1" x14ac:dyDescent="0.2"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 t="s">
        <v>1</v>
      </c>
    </row>
    <row r="4" spans="1:16" s="2" customFormat="1" ht="25.5" x14ac:dyDescent="0.2">
      <c r="A4" s="188"/>
      <c r="B4" s="188" t="s">
        <v>2</v>
      </c>
      <c r="C4" s="188" t="s">
        <v>3</v>
      </c>
      <c r="D4" s="188" t="s">
        <v>4</v>
      </c>
      <c r="E4" s="188" t="s">
        <v>5</v>
      </c>
      <c r="F4" s="188" t="s">
        <v>6</v>
      </c>
      <c r="G4" s="188" t="s">
        <v>7</v>
      </c>
      <c r="H4" s="188" t="s">
        <v>8</v>
      </c>
      <c r="I4" s="188" t="s">
        <v>9</v>
      </c>
      <c r="J4" s="188" t="s">
        <v>10</v>
      </c>
      <c r="K4" s="188" t="s">
        <v>11</v>
      </c>
      <c r="L4" s="188" t="s">
        <v>12</v>
      </c>
      <c r="M4" s="188" t="s">
        <v>13</v>
      </c>
      <c r="N4" s="188" t="s">
        <v>14</v>
      </c>
      <c r="O4" s="189" t="s">
        <v>15</v>
      </c>
    </row>
    <row r="5" spans="1:16" ht="30" customHeight="1" x14ac:dyDescent="0.2">
      <c r="A5" s="192" t="s">
        <v>16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5"/>
    </row>
    <row r="6" spans="1:16" ht="17.25" customHeight="1" x14ac:dyDescent="0.2">
      <c r="A6" s="193" t="s">
        <v>17</v>
      </c>
      <c r="B6" s="166">
        <f>259352+12231</f>
        <v>271583</v>
      </c>
      <c r="C6" s="166">
        <v>1847550</v>
      </c>
      <c r="D6" s="166">
        <v>4045787</v>
      </c>
      <c r="E6" s="178">
        <v>21260</v>
      </c>
      <c r="F6" s="166">
        <v>8424</v>
      </c>
      <c r="G6" s="166">
        <v>88210</v>
      </c>
      <c r="H6" s="166">
        <v>8767</v>
      </c>
      <c r="I6" s="166">
        <v>238239</v>
      </c>
      <c r="J6" s="166">
        <v>296775</v>
      </c>
      <c r="K6" s="166">
        <v>108840</v>
      </c>
      <c r="L6" s="166">
        <v>344634</v>
      </c>
      <c r="M6" s="166">
        <v>1765216</v>
      </c>
      <c r="N6" s="178">
        <v>45599</v>
      </c>
      <c r="O6" s="169">
        <f>SUM(B6:N6)</f>
        <v>9090884</v>
      </c>
      <c r="P6" s="3"/>
    </row>
    <row r="7" spans="1:16" ht="17.25" customHeight="1" x14ac:dyDescent="0.2">
      <c r="A7" s="193" t="s">
        <v>18</v>
      </c>
      <c r="B7" s="170">
        <v>43868</v>
      </c>
      <c r="C7" s="170">
        <v>74862</v>
      </c>
      <c r="D7" s="170">
        <v>14050</v>
      </c>
      <c r="E7" s="171">
        <v>560</v>
      </c>
      <c r="F7" s="170">
        <v>569</v>
      </c>
      <c r="G7" s="170">
        <v>4183</v>
      </c>
      <c r="H7" s="170">
        <v>450</v>
      </c>
      <c r="I7" s="170">
        <v>13112</v>
      </c>
      <c r="J7" s="170">
        <v>0</v>
      </c>
      <c r="K7" s="170">
        <v>13682</v>
      </c>
      <c r="L7" s="170">
        <v>19444</v>
      </c>
      <c r="M7" s="170">
        <v>75165</v>
      </c>
      <c r="N7" s="171">
        <v>1326</v>
      </c>
      <c r="O7" s="190">
        <f>SUM(B7:N7)</f>
        <v>261271</v>
      </c>
    </row>
    <row r="8" spans="1:16" ht="17.25" customHeight="1" x14ac:dyDescent="0.2">
      <c r="A8" s="193" t="s">
        <v>19</v>
      </c>
      <c r="B8" s="173">
        <f t="shared" ref="B8:N8" si="0">(B6-B7)</f>
        <v>227715</v>
      </c>
      <c r="C8" s="173">
        <f t="shared" si="0"/>
        <v>1772688</v>
      </c>
      <c r="D8" s="173">
        <f t="shared" si="0"/>
        <v>4031737</v>
      </c>
      <c r="E8" s="174">
        <f t="shared" si="0"/>
        <v>20700</v>
      </c>
      <c r="F8" s="173">
        <f t="shared" si="0"/>
        <v>7855</v>
      </c>
      <c r="G8" s="173">
        <f t="shared" si="0"/>
        <v>84027</v>
      </c>
      <c r="H8" s="173">
        <f t="shared" si="0"/>
        <v>8317</v>
      </c>
      <c r="I8" s="173">
        <f t="shared" si="0"/>
        <v>225127</v>
      </c>
      <c r="J8" s="173">
        <f t="shared" si="0"/>
        <v>296775</v>
      </c>
      <c r="K8" s="173">
        <f t="shared" si="0"/>
        <v>95158</v>
      </c>
      <c r="L8" s="173">
        <f t="shared" si="0"/>
        <v>325190</v>
      </c>
      <c r="M8" s="173">
        <f t="shared" si="0"/>
        <v>1690051</v>
      </c>
      <c r="N8" s="174">
        <f t="shared" si="0"/>
        <v>44273</v>
      </c>
      <c r="O8" s="190">
        <f>SUM(B8:N8)</f>
        <v>8829613</v>
      </c>
      <c r="P8" s="4"/>
    </row>
    <row r="9" spans="1:16" ht="29.25" customHeight="1" x14ac:dyDescent="0.2">
      <c r="A9" s="193" t="s">
        <v>20</v>
      </c>
      <c r="B9" s="170">
        <v>63626</v>
      </c>
      <c r="C9" s="170">
        <v>-2007157</v>
      </c>
      <c r="D9" s="170">
        <v>1572844</v>
      </c>
      <c r="E9" s="171">
        <v>4250</v>
      </c>
      <c r="F9" s="170">
        <v>7035</v>
      </c>
      <c r="G9" s="170">
        <v>14757</v>
      </c>
      <c r="H9" s="170">
        <v>5769</v>
      </c>
      <c r="I9" s="170">
        <v>-374784</v>
      </c>
      <c r="J9" s="170">
        <v>307365</v>
      </c>
      <c r="K9" s="170">
        <v>44792</v>
      </c>
      <c r="L9" s="170">
        <v>87622</v>
      </c>
      <c r="M9" s="170">
        <v>1051097</v>
      </c>
      <c r="N9" s="171">
        <v>31733</v>
      </c>
      <c r="O9" s="190">
        <f>SUM(B9:N9)</f>
        <v>808949</v>
      </c>
      <c r="P9" s="5"/>
    </row>
    <row r="10" spans="1:16" ht="29.25" customHeight="1" x14ac:dyDescent="0.2">
      <c r="A10" s="193" t="s">
        <v>21</v>
      </c>
      <c r="B10" s="170">
        <v>86031</v>
      </c>
      <c r="C10" s="170">
        <f>13329+185374</f>
        <v>198703</v>
      </c>
      <c r="D10" s="170">
        <f>1526+3181</f>
        <v>4707</v>
      </c>
      <c r="E10" s="171">
        <v>0</v>
      </c>
      <c r="F10" s="170">
        <v>482</v>
      </c>
      <c r="G10" s="170">
        <v>0</v>
      </c>
      <c r="H10" s="170">
        <v>4</v>
      </c>
      <c r="I10" s="170">
        <v>2435</v>
      </c>
      <c r="J10" s="170">
        <v>0</v>
      </c>
      <c r="K10" s="170">
        <v>11306</v>
      </c>
      <c r="L10" s="170">
        <f>-5767+10073-7083-784648+679</f>
        <v>-786746</v>
      </c>
      <c r="M10" s="170">
        <f>67262+2081186+6429.676</f>
        <v>2154877.676</v>
      </c>
      <c r="N10" s="171">
        <v>1093</v>
      </c>
      <c r="O10" s="190">
        <f>SUM(B10:N10)</f>
        <v>1672892.676</v>
      </c>
    </row>
    <row r="11" spans="1:16" ht="29.25" customHeight="1" x14ac:dyDescent="0.2">
      <c r="A11" s="186" t="s">
        <v>22</v>
      </c>
      <c r="B11" s="166"/>
      <c r="C11" s="166"/>
      <c r="D11" s="166"/>
      <c r="E11" s="178"/>
      <c r="F11" s="166"/>
      <c r="G11" s="166"/>
      <c r="H11" s="166"/>
      <c r="I11" s="166"/>
      <c r="J11" s="166"/>
      <c r="K11" s="166"/>
      <c r="L11" s="166"/>
      <c r="M11" s="166"/>
      <c r="N11" s="178"/>
      <c r="O11" s="169"/>
    </row>
    <row r="12" spans="1:16" ht="17.25" customHeight="1" x14ac:dyDescent="0.2">
      <c r="A12" s="193" t="s">
        <v>17</v>
      </c>
      <c r="B12" s="166">
        <v>121285</v>
      </c>
      <c r="C12" s="166">
        <v>1539204</v>
      </c>
      <c r="D12" s="166">
        <v>1576989</v>
      </c>
      <c r="E12" s="178">
        <v>10080</v>
      </c>
      <c r="F12" s="166">
        <v>10628</v>
      </c>
      <c r="G12" s="166">
        <v>84126</v>
      </c>
      <c r="H12" s="166">
        <v>5418</v>
      </c>
      <c r="I12" s="166">
        <v>220011</v>
      </c>
      <c r="J12" s="166">
        <v>226589</v>
      </c>
      <c r="K12" s="166">
        <v>56144</v>
      </c>
      <c r="L12" s="166">
        <v>217285</v>
      </c>
      <c r="M12" s="166">
        <v>1206297</v>
      </c>
      <c r="N12" s="178">
        <v>36071</v>
      </c>
      <c r="O12" s="169">
        <f>SUM(B12:N12)</f>
        <v>5310127</v>
      </c>
    </row>
    <row r="13" spans="1:16" ht="17.25" customHeight="1" x14ac:dyDescent="0.2">
      <c r="A13" s="193" t="s">
        <v>23</v>
      </c>
      <c r="B13" s="170">
        <v>10057</v>
      </c>
      <c r="C13" s="170">
        <f>--11073</f>
        <v>11073</v>
      </c>
      <c r="D13" s="170">
        <v>3363</v>
      </c>
      <c r="E13" s="171">
        <v>200</v>
      </c>
      <c r="F13" s="170">
        <v>135</v>
      </c>
      <c r="G13" s="170">
        <v>-259</v>
      </c>
      <c r="H13" s="170">
        <v>57</v>
      </c>
      <c r="I13" s="170">
        <v>1613</v>
      </c>
      <c r="J13" s="170">
        <v>0</v>
      </c>
      <c r="K13" s="170">
        <v>1578</v>
      </c>
      <c r="L13" s="170">
        <v>6319</v>
      </c>
      <c r="M13" s="170">
        <v>21621</v>
      </c>
      <c r="N13" s="171">
        <v>700</v>
      </c>
      <c r="O13" s="190">
        <f>SUM(B13:N13)</f>
        <v>56457</v>
      </c>
    </row>
    <row r="14" spans="1:16" ht="17.25" customHeight="1" x14ac:dyDescent="0.2">
      <c r="A14" s="193" t="s">
        <v>19</v>
      </c>
      <c r="B14" s="173">
        <f t="shared" ref="B14:N14" si="1">(B12-B13)</f>
        <v>111228</v>
      </c>
      <c r="C14" s="173">
        <f t="shared" si="1"/>
        <v>1528131</v>
      </c>
      <c r="D14" s="173">
        <f t="shared" si="1"/>
        <v>1573626</v>
      </c>
      <c r="E14" s="174">
        <f t="shared" si="1"/>
        <v>9880</v>
      </c>
      <c r="F14" s="173">
        <f t="shared" si="1"/>
        <v>10493</v>
      </c>
      <c r="G14" s="173">
        <f t="shared" si="1"/>
        <v>84385</v>
      </c>
      <c r="H14" s="173">
        <f t="shared" si="1"/>
        <v>5361</v>
      </c>
      <c r="I14" s="173">
        <f t="shared" si="1"/>
        <v>218398</v>
      </c>
      <c r="J14" s="173">
        <f t="shared" si="1"/>
        <v>226589</v>
      </c>
      <c r="K14" s="173">
        <f t="shared" si="1"/>
        <v>54566</v>
      </c>
      <c r="L14" s="173">
        <f t="shared" si="1"/>
        <v>210966</v>
      </c>
      <c r="M14" s="173">
        <f t="shared" si="1"/>
        <v>1184676</v>
      </c>
      <c r="N14" s="174">
        <f t="shared" si="1"/>
        <v>35371</v>
      </c>
      <c r="O14" s="190">
        <f>SUM(B14:N14)</f>
        <v>5253670</v>
      </c>
    </row>
    <row r="15" spans="1:16" ht="30" customHeight="1" x14ac:dyDescent="0.2">
      <c r="A15" s="186" t="s">
        <v>24</v>
      </c>
      <c r="B15" s="166"/>
      <c r="C15" s="166"/>
      <c r="D15" s="166"/>
      <c r="E15" s="178"/>
      <c r="F15" s="166"/>
      <c r="G15" s="166"/>
      <c r="H15" s="166"/>
      <c r="I15" s="166"/>
      <c r="J15" s="166"/>
      <c r="K15" s="166"/>
      <c r="L15" s="166"/>
      <c r="M15" s="166"/>
      <c r="N15" s="178"/>
      <c r="O15" s="169"/>
    </row>
    <row r="16" spans="1:16" ht="17.25" customHeight="1" x14ac:dyDescent="0.2">
      <c r="A16" s="193" t="s">
        <v>25</v>
      </c>
      <c r="B16" s="166">
        <v>8460</v>
      </c>
      <c r="C16" s="166">
        <v>23034</v>
      </c>
      <c r="D16" s="166">
        <v>89551</v>
      </c>
      <c r="E16" s="178">
        <v>0</v>
      </c>
      <c r="F16" s="166">
        <v>51</v>
      </c>
      <c r="G16" s="166">
        <v>1189</v>
      </c>
      <c r="H16" s="166">
        <v>13</v>
      </c>
      <c r="I16" s="166">
        <v>4195</v>
      </c>
      <c r="J16" s="166">
        <v>0</v>
      </c>
      <c r="K16" s="166">
        <v>2161</v>
      </c>
      <c r="L16" s="166">
        <v>7853</v>
      </c>
      <c r="M16" s="166">
        <v>12655</v>
      </c>
      <c r="N16" s="178">
        <v>462</v>
      </c>
      <c r="O16" s="169">
        <f t="shared" ref="O16:O22" si="2">SUM(B16:N16)</f>
        <v>149624</v>
      </c>
    </row>
    <row r="17" spans="1:15" ht="17.25" customHeight="1" x14ac:dyDescent="0.2">
      <c r="A17" s="193" t="s">
        <v>26</v>
      </c>
      <c r="B17" s="170">
        <v>4930</v>
      </c>
      <c r="C17" s="170">
        <v>50310</v>
      </c>
      <c r="D17" s="170">
        <v>0</v>
      </c>
      <c r="E17" s="171">
        <v>3315</v>
      </c>
      <c r="F17" s="170">
        <v>384</v>
      </c>
      <c r="G17" s="170">
        <v>5419</v>
      </c>
      <c r="H17" s="170">
        <v>319</v>
      </c>
      <c r="I17" s="170">
        <v>7246</v>
      </c>
      <c r="J17" s="170">
        <v>21337</v>
      </c>
      <c r="K17" s="170">
        <v>5119</v>
      </c>
      <c r="L17" s="170">
        <v>26017</v>
      </c>
      <c r="M17" s="170">
        <v>47916</v>
      </c>
      <c r="N17" s="171">
        <v>3602</v>
      </c>
      <c r="O17" s="190">
        <f t="shared" si="2"/>
        <v>175914</v>
      </c>
    </row>
    <row r="18" spans="1:15" ht="17.25" customHeight="1" x14ac:dyDescent="0.2">
      <c r="A18" s="193" t="s">
        <v>19</v>
      </c>
      <c r="B18" s="173">
        <f t="shared" ref="B18:N18" si="3">(B16-B17)</f>
        <v>3530</v>
      </c>
      <c r="C18" s="173">
        <f t="shared" si="3"/>
        <v>-27276</v>
      </c>
      <c r="D18" s="173">
        <f t="shared" si="3"/>
        <v>89551</v>
      </c>
      <c r="E18" s="174">
        <f t="shared" si="3"/>
        <v>-3315</v>
      </c>
      <c r="F18" s="173">
        <f t="shared" si="3"/>
        <v>-333</v>
      </c>
      <c r="G18" s="173">
        <f t="shared" si="3"/>
        <v>-4230</v>
      </c>
      <c r="H18" s="173">
        <f t="shared" si="3"/>
        <v>-306</v>
      </c>
      <c r="I18" s="173">
        <f t="shared" si="3"/>
        <v>-3051</v>
      </c>
      <c r="J18" s="173">
        <f t="shared" si="3"/>
        <v>-21337</v>
      </c>
      <c r="K18" s="173">
        <f t="shared" si="3"/>
        <v>-2958</v>
      </c>
      <c r="L18" s="173">
        <f t="shared" si="3"/>
        <v>-18164</v>
      </c>
      <c r="M18" s="173">
        <f t="shared" si="3"/>
        <v>-35261</v>
      </c>
      <c r="N18" s="174">
        <f t="shared" si="3"/>
        <v>-3140</v>
      </c>
      <c r="O18" s="190">
        <f t="shared" si="2"/>
        <v>-26290</v>
      </c>
    </row>
    <row r="19" spans="1:15" ht="30" customHeight="1" x14ac:dyDescent="0.2">
      <c r="A19" s="193" t="s">
        <v>27</v>
      </c>
      <c r="B19" s="170">
        <v>63506</v>
      </c>
      <c r="C19" s="170">
        <v>1746752</v>
      </c>
      <c r="D19" s="170">
        <v>353206</v>
      </c>
      <c r="E19" s="171">
        <v>10106</v>
      </c>
      <c r="F19" s="170">
        <v>3352</v>
      </c>
      <c r="G19" s="170">
        <v>32770</v>
      </c>
      <c r="H19" s="170">
        <v>1335</v>
      </c>
      <c r="I19" s="170">
        <v>47087</v>
      </c>
      <c r="J19" s="170">
        <v>25395</v>
      </c>
      <c r="K19" s="170">
        <f>18893+8882</f>
        <v>27775</v>
      </c>
      <c r="L19" s="170">
        <v>69946</v>
      </c>
      <c r="M19" s="170">
        <v>91075</v>
      </c>
      <c r="N19" s="171">
        <v>13262</v>
      </c>
      <c r="O19" s="190">
        <f t="shared" si="2"/>
        <v>2485567</v>
      </c>
    </row>
    <row r="20" spans="1:15" ht="30" customHeight="1" x14ac:dyDescent="0.2">
      <c r="A20" s="193" t="s">
        <v>28</v>
      </c>
      <c r="B20" s="170">
        <v>0</v>
      </c>
      <c r="C20" s="170">
        <v>2309</v>
      </c>
      <c r="D20" s="170">
        <v>65225</v>
      </c>
      <c r="E20" s="171">
        <v>0</v>
      </c>
      <c r="F20" s="170">
        <v>386</v>
      </c>
      <c r="G20" s="170">
        <v>0</v>
      </c>
      <c r="H20" s="170">
        <v>614</v>
      </c>
      <c r="I20" s="170">
        <v>0</v>
      </c>
      <c r="J20" s="170">
        <v>32416</v>
      </c>
      <c r="K20" s="170">
        <v>0</v>
      </c>
      <c r="L20" s="170">
        <v>0</v>
      </c>
      <c r="M20" s="170">
        <v>27716</v>
      </c>
      <c r="N20" s="171">
        <v>1613</v>
      </c>
      <c r="O20" s="190">
        <f t="shared" si="2"/>
        <v>130279</v>
      </c>
    </row>
    <row r="21" spans="1:15" ht="30" customHeight="1" x14ac:dyDescent="0.2">
      <c r="A21" s="193" t="s">
        <v>29</v>
      </c>
      <c r="B21" s="170">
        <v>1270201</v>
      </c>
      <c r="C21" s="170">
        <v>17548441</v>
      </c>
      <c r="D21" s="170">
        <v>5287692</v>
      </c>
      <c r="E21" s="170">
        <v>58207</v>
      </c>
      <c r="F21" s="170">
        <v>66475</v>
      </c>
      <c r="G21" s="170">
        <v>708897</v>
      </c>
      <c r="H21" s="170">
        <v>53091</v>
      </c>
      <c r="I21" s="170">
        <v>1615509</v>
      </c>
      <c r="J21" s="170">
        <v>1814058</v>
      </c>
      <c r="K21" s="170">
        <v>414103</v>
      </c>
      <c r="L21" s="170">
        <v>3046106</v>
      </c>
      <c r="M21" s="170">
        <v>17242522</v>
      </c>
      <c r="N21" s="171">
        <v>298942</v>
      </c>
      <c r="O21" s="190">
        <f t="shared" si="2"/>
        <v>49424244</v>
      </c>
    </row>
    <row r="22" spans="1:15" ht="30" customHeight="1" x14ac:dyDescent="0.2">
      <c r="A22" s="194" t="s">
        <v>30</v>
      </c>
      <c r="B22" s="179">
        <v>1376688</v>
      </c>
      <c r="C22" s="179">
        <v>15642586</v>
      </c>
      <c r="D22" s="179">
        <v>8389312</v>
      </c>
      <c r="E22" s="179">
        <v>59855</v>
      </c>
      <c r="F22" s="179">
        <v>67095</v>
      </c>
      <c r="G22" s="179">
        <v>686295</v>
      </c>
      <c r="H22" s="179">
        <v>59258</v>
      </c>
      <c r="I22" s="179">
        <v>1189345</v>
      </c>
      <c r="J22" s="179">
        <v>2106474</v>
      </c>
      <c r="K22" s="179">
        <v>479059</v>
      </c>
      <c r="L22" s="179">
        <v>2412918</v>
      </c>
      <c r="M22" s="179">
        <v>19149645</v>
      </c>
      <c r="N22" s="179">
        <v>320687</v>
      </c>
      <c r="O22" s="191">
        <f t="shared" si="2"/>
        <v>51939217</v>
      </c>
    </row>
    <row r="23" spans="1:15" x14ac:dyDescent="0.2">
      <c r="J23" s="182"/>
    </row>
    <row r="24" spans="1:15" s="6" customFormat="1" x14ac:dyDescent="0.2">
      <c r="A24" s="25" t="s">
        <v>76</v>
      </c>
      <c r="B24" s="183"/>
      <c r="C24" s="183"/>
      <c r="D24" s="183"/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61"/>
    </row>
    <row r="25" spans="1:15" x14ac:dyDescent="0.2">
      <c r="D25" s="183"/>
      <c r="G25" s="183"/>
      <c r="L25" s="183"/>
    </row>
    <row r="29" spans="1:15" x14ac:dyDescent="0.2">
      <c r="O29" s="184"/>
    </row>
    <row r="30" spans="1:15" x14ac:dyDescent="0.2">
      <c r="B30" s="185"/>
    </row>
  </sheetData>
  <mergeCells count="2">
    <mergeCell ref="A1:O1"/>
    <mergeCell ref="A2:O2"/>
  </mergeCells>
  <printOptions horizontalCentered="1"/>
  <pageMargins left="0" right="0" top="0" bottom="0.5" header="0.25" footer="0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topLeftCell="B1" zoomScaleNormal="100" workbookViewId="0">
      <pane ySplit="4" topLeftCell="A5" activePane="bottomLeft" state="frozen"/>
      <selection activeCell="H16" sqref="H16"/>
      <selection pane="bottomLeft" activeCell="E21" sqref="E21"/>
    </sheetView>
  </sheetViews>
  <sheetFormatPr defaultRowHeight="12.75" x14ac:dyDescent="0.2"/>
  <cols>
    <col min="1" max="1" width="30.7109375" style="11" customWidth="1"/>
    <col min="2" max="7" width="15.7109375" style="11" customWidth="1"/>
    <col min="8" max="8" width="19.7109375" style="11" customWidth="1"/>
    <col min="9" max="12" width="15.7109375" style="11" customWidth="1"/>
  </cols>
  <sheetData>
    <row r="1" spans="1:12" ht="12.95" customHeight="1" x14ac:dyDescent="0.2">
      <c r="A1" s="198" t="s">
        <v>0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</row>
    <row r="2" spans="1:12" ht="12.95" customHeight="1" x14ac:dyDescent="0.2">
      <c r="A2" s="198" t="s">
        <v>88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</row>
    <row r="3" spans="1:12" ht="14.1" customHeight="1" x14ac:dyDescent="0.2">
      <c r="A3" s="199" t="s">
        <v>71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</row>
    <row r="4" spans="1:12" ht="54" customHeight="1" x14ac:dyDescent="0.2">
      <c r="A4" s="12"/>
      <c r="B4" s="12" t="s">
        <v>83</v>
      </c>
      <c r="C4" s="12" t="s">
        <v>50</v>
      </c>
      <c r="D4" s="12" t="s">
        <v>77</v>
      </c>
      <c r="E4" s="12" t="s">
        <v>51</v>
      </c>
      <c r="F4" s="12" t="s">
        <v>78</v>
      </c>
      <c r="G4" s="12" t="s">
        <v>10</v>
      </c>
      <c r="H4" s="197" t="s">
        <v>86</v>
      </c>
      <c r="I4" s="12" t="s">
        <v>79</v>
      </c>
      <c r="J4" s="12" t="s">
        <v>55</v>
      </c>
      <c r="K4" s="12" t="s">
        <v>74</v>
      </c>
      <c r="L4" s="13" t="s">
        <v>15</v>
      </c>
    </row>
    <row r="5" spans="1:12" ht="20.100000000000001" customHeight="1" x14ac:dyDescent="0.2">
      <c r="A5" s="18" t="s">
        <v>56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4"/>
    </row>
    <row r="6" spans="1:12" ht="20.100000000000001" customHeight="1" x14ac:dyDescent="0.2">
      <c r="A6" s="20" t="s">
        <v>57</v>
      </c>
      <c r="B6" s="14">
        <v>1615188.4680000001</v>
      </c>
      <c r="C6" s="14">
        <v>174045.97655999998</v>
      </c>
      <c r="D6" s="14">
        <v>1277.473</v>
      </c>
      <c r="E6" s="14">
        <v>1555990.0490000001</v>
      </c>
      <c r="F6" s="14">
        <v>1649.9459999999999</v>
      </c>
      <c r="G6" s="14">
        <v>572287.23800000001</v>
      </c>
      <c r="H6" s="14">
        <v>126454.499</v>
      </c>
      <c r="I6" s="14">
        <v>5147.9390000000003</v>
      </c>
      <c r="J6" s="14">
        <v>2417102.324</v>
      </c>
      <c r="K6" s="14">
        <v>5144186.898</v>
      </c>
      <c r="L6" s="195">
        <f>SUM(B6:K6)</f>
        <v>11613330.810559999</v>
      </c>
    </row>
    <row r="7" spans="1:12" ht="20.100000000000001" customHeight="1" x14ac:dyDescent="0.2">
      <c r="A7" s="20" t="s">
        <v>58</v>
      </c>
      <c r="B7" s="14">
        <v>24181.268</v>
      </c>
      <c r="C7" s="14">
        <v>18718.499749999999</v>
      </c>
      <c r="D7" s="14">
        <v>41.192</v>
      </c>
      <c r="E7" s="14">
        <v>191109.022</v>
      </c>
      <c r="F7" s="14">
        <v>225</v>
      </c>
      <c r="G7" s="14">
        <v>0</v>
      </c>
      <c r="H7" s="14">
        <v>6745.26</v>
      </c>
      <c r="I7" s="14">
        <v>600</v>
      </c>
      <c r="J7" s="14">
        <v>189082.70699999999</v>
      </c>
      <c r="K7" s="14">
        <v>187375.66500000001</v>
      </c>
      <c r="L7" s="195">
        <f t="shared" ref="L7:L10" si="0">SUM(B7:K7)</f>
        <v>618078.61375000002</v>
      </c>
    </row>
    <row r="8" spans="1:12" ht="20.100000000000001" customHeight="1" x14ac:dyDescent="0.2">
      <c r="A8" s="20" t="s">
        <v>59</v>
      </c>
      <c r="B8" s="14">
        <v>1591007.2</v>
      </c>
      <c r="C8" s="14">
        <v>155327.47680999996</v>
      </c>
      <c r="D8" s="14">
        <v>1236.2809999999999</v>
      </c>
      <c r="E8" s="14">
        <v>1364881.027</v>
      </c>
      <c r="F8" s="14">
        <v>1424.9459999999999</v>
      </c>
      <c r="G8" s="14">
        <v>572287.23800000001</v>
      </c>
      <c r="H8" s="14">
        <v>119709.239</v>
      </c>
      <c r="I8" s="14">
        <v>4547.9390000000003</v>
      </c>
      <c r="J8" s="14">
        <v>2228019.6170000001</v>
      </c>
      <c r="K8" s="14">
        <v>4956811.233</v>
      </c>
      <c r="L8" s="195">
        <f t="shared" si="0"/>
        <v>10995252.19681</v>
      </c>
    </row>
    <row r="9" spans="1:12" ht="20.100000000000001" customHeight="1" x14ac:dyDescent="0.2">
      <c r="A9" s="20" t="s">
        <v>20</v>
      </c>
      <c r="B9" s="14">
        <v>328587.696</v>
      </c>
      <c r="C9" s="14">
        <v>97526.922890564936</v>
      </c>
      <c r="D9" s="14">
        <v>235.55600000000001</v>
      </c>
      <c r="E9" s="14">
        <v>1433507.8859999999</v>
      </c>
      <c r="F9" s="14">
        <v>520.35900000000004</v>
      </c>
      <c r="G9" s="14">
        <v>274717.16100000002</v>
      </c>
      <c r="H9" s="14">
        <v>7267.71</v>
      </c>
      <c r="I9" s="14">
        <v>828.33799999999997</v>
      </c>
      <c r="J9" s="14">
        <v>1394254.176</v>
      </c>
      <c r="K9" s="14">
        <v>2485685.2590000001</v>
      </c>
      <c r="L9" s="195">
        <f t="shared" si="0"/>
        <v>6023131.0638905652</v>
      </c>
    </row>
    <row r="10" spans="1:12" ht="20.100000000000001" customHeight="1" x14ac:dyDescent="0.2">
      <c r="A10" s="20" t="s">
        <v>65</v>
      </c>
      <c r="B10" s="14">
        <v>45243.419000000002</v>
      </c>
      <c r="C10" s="14">
        <v>0</v>
      </c>
      <c r="D10" s="14">
        <v>1039.925</v>
      </c>
      <c r="E10" s="14">
        <v>23067.478999999999</v>
      </c>
      <c r="F10" s="14">
        <v>8</v>
      </c>
      <c r="G10" s="14">
        <v>0</v>
      </c>
      <c r="H10" s="14">
        <v>24205.691999999999</v>
      </c>
      <c r="I10" s="14">
        <v>0</v>
      </c>
      <c r="J10" s="14">
        <v>177.58199999999999</v>
      </c>
      <c r="K10" s="14">
        <v>266648.37300000002</v>
      </c>
      <c r="L10" s="195">
        <f t="shared" si="0"/>
        <v>360390.47000000003</v>
      </c>
    </row>
    <row r="11" spans="1:12" ht="20.100000000000001" customHeight="1" x14ac:dyDescent="0.2">
      <c r="A11" s="18" t="s">
        <v>66</v>
      </c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95"/>
    </row>
    <row r="12" spans="1:12" ht="20.100000000000001" customHeight="1" x14ac:dyDescent="0.2">
      <c r="A12" s="20" t="s">
        <v>57</v>
      </c>
      <c r="B12" s="14">
        <v>1217650.747</v>
      </c>
      <c r="C12" s="14">
        <v>210244.94544000004</v>
      </c>
      <c r="D12" s="14">
        <v>3540.3539999999998</v>
      </c>
      <c r="E12" s="14">
        <v>572124.29299999995</v>
      </c>
      <c r="F12" s="14">
        <v>7364.3</v>
      </c>
      <c r="G12" s="14">
        <v>497096.21600000001</v>
      </c>
      <c r="H12" s="14">
        <v>127846.30100000001</v>
      </c>
      <c r="I12" s="14">
        <v>6458.9629999999997</v>
      </c>
      <c r="J12" s="14">
        <v>1937710.0079999999</v>
      </c>
      <c r="K12" s="14">
        <v>3505312.267</v>
      </c>
      <c r="L12" s="195">
        <f>SUM(B12:K12)</f>
        <v>8085348.3944399999</v>
      </c>
    </row>
    <row r="13" spans="1:12" ht="20.100000000000001" customHeight="1" x14ac:dyDescent="0.2">
      <c r="A13" s="20" t="s">
        <v>58</v>
      </c>
      <c r="B13" s="14">
        <v>34983.756999999998</v>
      </c>
      <c r="C13" s="14">
        <v>5750.3850000000002</v>
      </c>
      <c r="D13" s="14">
        <v>0</v>
      </c>
      <c r="E13" s="14">
        <v>73714.150999999998</v>
      </c>
      <c r="F13" s="14">
        <v>0</v>
      </c>
      <c r="G13" s="14">
        <v>0</v>
      </c>
      <c r="H13" s="14">
        <v>285.38200000000001</v>
      </c>
      <c r="I13" s="14">
        <v>325</v>
      </c>
      <c r="J13" s="14">
        <v>59181.392</v>
      </c>
      <c r="K13" s="14">
        <v>35446.601000000002</v>
      </c>
      <c r="L13" s="195">
        <f t="shared" ref="L13:L14" si="1">SUM(B13:K13)</f>
        <v>209686.66800000001</v>
      </c>
    </row>
    <row r="14" spans="1:12" ht="20.100000000000001" customHeight="1" x14ac:dyDescent="0.2">
      <c r="A14" s="20" t="s">
        <v>59</v>
      </c>
      <c r="B14" s="14">
        <v>1182666.99</v>
      </c>
      <c r="C14" s="14">
        <v>204494.56044000003</v>
      </c>
      <c r="D14" s="14">
        <v>3540.3539999999998</v>
      </c>
      <c r="E14" s="14">
        <v>498410.14199999999</v>
      </c>
      <c r="F14" s="14">
        <v>7364.3</v>
      </c>
      <c r="G14" s="14">
        <v>497096.21600000001</v>
      </c>
      <c r="H14" s="14">
        <v>127560.91899999999</v>
      </c>
      <c r="I14" s="14">
        <v>6133.9629999999997</v>
      </c>
      <c r="J14" s="14">
        <v>1878528.6159999999</v>
      </c>
      <c r="K14" s="14">
        <v>3469865.6660000002</v>
      </c>
      <c r="L14" s="195">
        <f t="shared" si="1"/>
        <v>7875661.7264400003</v>
      </c>
    </row>
    <row r="15" spans="1:12" ht="20.100000000000001" customHeight="1" x14ac:dyDescent="0.2">
      <c r="A15" s="18" t="s">
        <v>67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95"/>
    </row>
    <row r="16" spans="1:12" ht="20.100000000000001" customHeight="1" x14ac:dyDescent="0.2">
      <c r="A16" s="20" t="s">
        <v>60</v>
      </c>
      <c r="B16" s="14">
        <v>0</v>
      </c>
      <c r="C16" s="14">
        <v>0</v>
      </c>
      <c r="D16" s="14">
        <v>4.4710000000000001</v>
      </c>
      <c r="E16" s="14">
        <v>45976.41</v>
      </c>
      <c r="F16" s="14">
        <v>0</v>
      </c>
      <c r="G16" s="14">
        <v>0</v>
      </c>
      <c r="H16" s="14">
        <v>1048.1120000000001</v>
      </c>
      <c r="I16" s="14">
        <v>0</v>
      </c>
      <c r="J16" s="14">
        <v>24134.298999999999</v>
      </c>
      <c r="K16" s="14">
        <v>55924.498</v>
      </c>
      <c r="L16" s="195">
        <f>SUM(B16:K16)</f>
        <v>127087.79000000001</v>
      </c>
    </row>
    <row r="17" spans="1:12" ht="20.100000000000001" customHeight="1" x14ac:dyDescent="0.2">
      <c r="A17" s="20" t="s">
        <v>61</v>
      </c>
      <c r="B17" s="14">
        <v>118185.16800000001</v>
      </c>
      <c r="C17" s="14">
        <v>7800.95424</v>
      </c>
      <c r="D17" s="14">
        <v>5.1689999999999996</v>
      </c>
      <c r="E17" s="14">
        <v>67963.341</v>
      </c>
      <c r="F17" s="14">
        <v>0</v>
      </c>
      <c r="G17" s="14">
        <v>26204.566999999999</v>
      </c>
      <c r="H17" s="14">
        <v>4548.1409999999996</v>
      </c>
      <c r="I17" s="14">
        <v>0</v>
      </c>
      <c r="J17" s="14">
        <v>62379.258999999998</v>
      </c>
      <c r="K17" s="14">
        <v>189901.02900000001</v>
      </c>
      <c r="L17" s="195">
        <f t="shared" ref="L17:L22" si="2">SUM(B17:K17)</f>
        <v>476987.62823999999</v>
      </c>
    </row>
    <row r="18" spans="1:12" ht="20.100000000000001" customHeight="1" x14ac:dyDescent="0.2">
      <c r="A18" s="20" t="s">
        <v>59</v>
      </c>
      <c r="B18" s="14">
        <v>-118185.16800000001</v>
      </c>
      <c r="C18" s="14">
        <v>-7800.95424</v>
      </c>
      <c r="D18" s="14">
        <v>-0.69799999999999995</v>
      </c>
      <c r="E18" s="14">
        <v>-21986.931</v>
      </c>
      <c r="F18" s="14">
        <v>0</v>
      </c>
      <c r="G18" s="14">
        <v>-26204.566999999999</v>
      </c>
      <c r="H18" s="14">
        <v>-3500.029</v>
      </c>
      <c r="I18" s="14">
        <v>0</v>
      </c>
      <c r="J18" s="14">
        <v>-38244.959999999999</v>
      </c>
      <c r="K18" s="14">
        <v>-133976.53099999999</v>
      </c>
      <c r="L18" s="195">
        <f t="shared" si="2"/>
        <v>-349899.83824000001</v>
      </c>
    </row>
    <row r="19" spans="1:12" ht="20.100000000000001" customHeight="1" x14ac:dyDescent="0.2">
      <c r="A19" s="20" t="s">
        <v>27</v>
      </c>
      <c r="B19" s="14">
        <v>435674.75099999999</v>
      </c>
      <c r="C19" s="14">
        <v>55217.294350000004</v>
      </c>
      <c r="D19" s="14">
        <v>814.20699999999999</v>
      </c>
      <c r="E19" s="14">
        <v>179629.11900000001</v>
      </c>
      <c r="F19" s="14">
        <v>801.25400000000002</v>
      </c>
      <c r="G19" s="14">
        <v>55141.019</v>
      </c>
      <c r="H19" s="14">
        <v>31503.59</v>
      </c>
      <c r="I19" s="14">
        <v>497.99799999999999</v>
      </c>
      <c r="J19" s="14">
        <v>258774.217</v>
      </c>
      <c r="K19" s="14">
        <v>700110.21499999997</v>
      </c>
      <c r="L19" s="195">
        <f t="shared" si="2"/>
        <v>1718163.6643499997</v>
      </c>
    </row>
    <row r="20" spans="1:12" ht="20.100000000000001" customHeight="1" x14ac:dyDescent="0.2">
      <c r="A20" s="20" t="s">
        <v>28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-60472.749000000003</v>
      </c>
      <c r="K20" s="14">
        <v>0</v>
      </c>
      <c r="L20" s="195">
        <f t="shared" si="2"/>
        <v>-60472.749000000003</v>
      </c>
    </row>
    <row r="21" spans="1:12" ht="20.100000000000001" customHeight="1" x14ac:dyDescent="0.2">
      <c r="A21" s="22" t="s">
        <v>29</v>
      </c>
      <c r="B21" s="14">
        <v>7800110.7640000004</v>
      </c>
      <c r="C21" s="14">
        <v>933072.36403888348</v>
      </c>
      <c r="D21" s="14">
        <v>34985.582000000002</v>
      </c>
      <c r="E21" s="14">
        <f>8885701996/1000</f>
        <v>8885701.9959999993</v>
      </c>
      <c r="F21" s="14">
        <v>37269.292000000001</v>
      </c>
      <c r="G21" s="14">
        <v>4101911.9679999999</v>
      </c>
      <c r="H21" s="14">
        <v>529657.51399999997</v>
      </c>
      <c r="I21" s="14">
        <v>36045.707999999999</v>
      </c>
      <c r="J21" s="14">
        <v>11404450.182</v>
      </c>
      <c r="K21" s="14">
        <f>45084339199.41/1000</f>
        <v>45084339.199410006</v>
      </c>
      <c r="L21" s="195">
        <f t="shared" si="2"/>
        <v>78847544.569448888</v>
      </c>
    </row>
    <row r="22" spans="1:12" ht="20.100000000000001" customHeight="1" x14ac:dyDescent="0.2">
      <c r="A22" s="24" t="s">
        <v>63</v>
      </c>
      <c r="B22" s="14">
        <v>7885775.375</v>
      </c>
      <c r="C22" s="14">
        <v>923713.54878888337</v>
      </c>
      <c r="D22" s="14">
        <v>33142.086000000003</v>
      </c>
      <c r="E22" s="14">
        <f>10200015114/1000</f>
        <v>10200015.114</v>
      </c>
      <c r="F22" s="14">
        <v>31115.263999999999</v>
      </c>
      <c r="G22" s="14">
        <v>4334516.7350000003</v>
      </c>
      <c r="H22" s="14">
        <v>656054.28700000001</v>
      </c>
      <c r="I22" s="14">
        <v>34790.023999999998</v>
      </c>
      <c r="J22" s="14">
        <v>12965036.889</v>
      </c>
      <c r="K22" s="14">
        <f>52790702868.75/1000</f>
        <v>52790702.868749999</v>
      </c>
      <c r="L22" s="196">
        <f t="shared" si="2"/>
        <v>89854862.19153887</v>
      </c>
    </row>
    <row r="23" spans="1:12" x14ac:dyDescent="0.2">
      <c r="A23" s="16"/>
      <c r="B23" s="16"/>
    </row>
    <row r="24" spans="1:12" x14ac:dyDescent="0.2">
      <c r="A24" s="17" t="s">
        <v>62</v>
      </c>
      <c r="B24" s="17"/>
      <c r="C24" s="16"/>
      <c r="D24" s="16"/>
      <c r="E24" s="16"/>
      <c r="F24" s="16"/>
      <c r="G24" s="16"/>
      <c r="H24" s="16"/>
      <c r="I24" s="16"/>
      <c r="J24" s="16"/>
      <c r="K24" s="16"/>
      <c r="L24" s="16"/>
    </row>
    <row r="25" spans="1:12" x14ac:dyDescent="0.2">
      <c r="A25" s="17" t="s">
        <v>87</v>
      </c>
      <c r="B25" s="17"/>
      <c r="C25" s="16"/>
      <c r="D25" s="16"/>
      <c r="E25" s="16"/>
      <c r="F25" s="16"/>
      <c r="G25" s="16"/>
      <c r="H25" s="16"/>
      <c r="I25" s="16"/>
      <c r="J25" s="16"/>
      <c r="K25" s="16"/>
      <c r="L25" s="16"/>
    </row>
    <row r="26" spans="1:12" x14ac:dyDescent="0.2">
      <c r="A26" s="25" t="s">
        <v>76</v>
      </c>
      <c r="B26" s="25"/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7" spans="1:12" x14ac:dyDescent="0.2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</sheetData>
  <mergeCells count="3">
    <mergeCell ref="A1:L1"/>
    <mergeCell ref="A2:L2"/>
    <mergeCell ref="A3:L3"/>
  </mergeCells>
  <pageMargins left="0.7" right="0.7" top="0.75" bottom="0.75" header="0.3" footer="0.3"/>
  <pageSetup scale="6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zoomScaleNormal="100" workbookViewId="0">
      <pane ySplit="4" topLeftCell="A11" activePane="bottomLeft" state="frozen"/>
      <selection activeCell="H16" sqref="H16"/>
      <selection pane="bottomLeft" activeCell="E29" sqref="E29"/>
    </sheetView>
  </sheetViews>
  <sheetFormatPr defaultRowHeight="12.75" x14ac:dyDescent="0.2"/>
  <cols>
    <col min="1" max="1" width="30.7109375" style="11" customWidth="1"/>
    <col min="2" max="7" width="15.7109375" style="11" customWidth="1"/>
    <col min="8" max="8" width="19.7109375" style="11" customWidth="1"/>
    <col min="9" max="12" width="15.7109375" style="11" customWidth="1"/>
  </cols>
  <sheetData>
    <row r="1" spans="1:12" ht="12.95" customHeight="1" x14ac:dyDescent="0.2">
      <c r="A1" s="198" t="s">
        <v>0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</row>
    <row r="2" spans="1:12" ht="12.95" customHeight="1" x14ac:dyDescent="0.2">
      <c r="A2" s="198" t="s">
        <v>84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</row>
    <row r="3" spans="1:12" ht="14.1" customHeight="1" x14ac:dyDescent="0.2">
      <c r="A3" s="199" t="s">
        <v>71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</row>
    <row r="4" spans="1:12" ht="54" customHeight="1" x14ac:dyDescent="0.2">
      <c r="A4" s="12"/>
      <c r="B4" s="12" t="s">
        <v>83</v>
      </c>
      <c r="C4" s="12" t="s">
        <v>50</v>
      </c>
      <c r="D4" s="12" t="s">
        <v>77</v>
      </c>
      <c r="E4" s="12" t="s">
        <v>51</v>
      </c>
      <c r="F4" s="12" t="s">
        <v>78</v>
      </c>
      <c r="G4" s="12" t="s">
        <v>10</v>
      </c>
      <c r="H4" s="197" t="s">
        <v>86</v>
      </c>
      <c r="I4" s="12" t="s">
        <v>79</v>
      </c>
      <c r="J4" s="12" t="s">
        <v>55</v>
      </c>
      <c r="K4" s="12" t="s">
        <v>74</v>
      </c>
      <c r="L4" s="13" t="s">
        <v>15</v>
      </c>
    </row>
    <row r="5" spans="1:12" ht="20.100000000000001" customHeight="1" x14ac:dyDescent="0.2">
      <c r="A5" s="18" t="s">
        <v>56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4"/>
    </row>
    <row r="6" spans="1:12" ht="20.100000000000001" customHeight="1" x14ac:dyDescent="0.2">
      <c r="A6" s="20" t="s">
        <v>57</v>
      </c>
      <c r="B6" s="21">
        <v>1543891.4350000001</v>
      </c>
      <c r="C6" s="21">
        <v>183088.18700000001</v>
      </c>
      <c r="D6" s="21">
        <v>1470.7080000000001</v>
      </c>
      <c r="E6" s="21">
        <v>1311003.6040000001</v>
      </c>
      <c r="F6" s="21">
        <v>2161.674</v>
      </c>
      <c r="G6" s="21">
        <v>468604.37</v>
      </c>
      <c r="H6" s="21">
        <v>90058.812000000005</v>
      </c>
      <c r="I6" s="21">
        <v>5624.7820000000002</v>
      </c>
      <c r="J6" s="21">
        <v>2206756.8560000001</v>
      </c>
      <c r="K6" s="21">
        <v>4718990.8870000001</v>
      </c>
      <c r="L6" s="195">
        <f>SUM(B6:K6)</f>
        <v>10531651.315000001</v>
      </c>
    </row>
    <row r="7" spans="1:12" ht="20.100000000000001" customHeight="1" x14ac:dyDescent="0.2">
      <c r="A7" s="20" t="s">
        <v>58</v>
      </c>
      <c r="B7" s="21">
        <v>24087.561000000002</v>
      </c>
      <c r="C7" s="21">
        <v>14886.317999999999</v>
      </c>
      <c r="D7" s="21">
        <v>120.039</v>
      </c>
      <c r="E7" s="21">
        <v>165602.30600000001</v>
      </c>
      <c r="F7" s="21">
        <v>246.142</v>
      </c>
      <c r="G7" s="21">
        <v>0</v>
      </c>
      <c r="H7" s="21">
        <v>6992.8779999999997</v>
      </c>
      <c r="I7" s="21">
        <v>450</v>
      </c>
      <c r="J7" s="21">
        <v>189862.80600000001</v>
      </c>
      <c r="K7" s="21">
        <v>187375.66500000001</v>
      </c>
      <c r="L7" s="195">
        <f t="shared" ref="L7:L10" si="0">SUM(B7:K7)</f>
        <v>589623.71500000008</v>
      </c>
    </row>
    <row r="8" spans="1:12" ht="20.100000000000001" customHeight="1" x14ac:dyDescent="0.2">
      <c r="A8" s="20" t="s">
        <v>59</v>
      </c>
      <c r="B8" s="21">
        <v>1519803.8740000001</v>
      </c>
      <c r="C8" s="21">
        <v>168201.86900000001</v>
      </c>
      <c r="D8" s="21">
        <v>1350.6690000000001</v>
      </c>
      <c r="E8" s="21">
        <v>1145401.298</v>
      </c>
      <c r="F8" s="21">
        <v>1915.5319999999999</v>
      </c>
      <c r="G8" s="21">
        <v>468604.37</v>
      </c>
      <c r="H8" s="21">
        <v>83065.933999999994</v>
      </c>
      <c r="I8" s="21">
        <v>5174.7820000000002</v>
      </c>
      <c r="J8" s="21">
        <v>2016894.05</v>
      </c>
      <c r="K8" s="21">
        <v>4531615.2220000001</v>
      </c>
      <c r="L8" s="195">
        <f t="shared" si="0"/>
        <v>9942027.6000000015</v>
      </c>
    </row>
    <row r="9" spans="1:12" ht="20.100000000000001" customHeight="1" x14ac:dyDescent="0.2">
      <c r="A9" s="20" t="s">
        <v>20</v>
      </c>
      <c r="B9" s="21">
        <v>180836.58199999999</v>
      </c>
      <c r="C9" s="21">
        <v>50987.13</v>
      </c>
      <c r="D9" s="21">
        <v>622.25621999999998</v>
      </c>
      <c r="E9" s="21">
        <v>194320.19</v>
      </c>
      <c r="F9" s="21">
        <v>877.35299999999995</v>
      </c>
      <c r="G9" s="21">
        <v>303813.93400000001</v>
      </c>
      <c r="H9" s="21">
        <v>23905.192999999999</v>
      </c>
      <c r="I9" s="21">
        <v>1481.5285100000001</v>
      </c>
      <c r="J9" s="21">
        <v>845860.21799999999</v>
      </c>
      <c r="K9" s="21">
        <v>2673512.4293799992</v>
      </c>
      <c r="L9" s="195">
        <f t="shared" si="0"/>
        <v>4276216.8141099997</v>
      </c>
    </row>
    <row r="10" spans="1:12" ht="20.100000000000001" customHeight="1" x14ac:dyDescent="0.2">
      <c r="A10" s="20" t="s">
        <v>65</v>
      </c>
      <c r="B10" s="21">
        <v>35646.368999999999</v>
      </c>
      <c r="C10" s="21">
        <v>0</v>
      </c>
      <c r="D10" s="21">
        <v>3047.3040000000001</v>
      </c>
      <c r="E10" s="21">
        <v>15334.59</v>
      </c>
      <c r="F10" s="21">
        <v>14</v>
      </c>
      <c r="G10" s="21">
        <v>0</v>
      </c>
      <c r="H10" s="21">
        <v>9302.5310000000009</v>
      </c>
      <c r="I10" s="21">
        <v>0</v>
      </c>
      <c r="J10" s="21">
        <v>1836.509</v>
      </c>
      <c r="K10" s="21">
        <v>142894.21100000001</v>
      </c>
      <c r="L10" s="195">
        <f t="shared" si="0"/>
        <v>208075.514</v>
      </c>
    </row>
    <row r="11" spans="1:12" ht="20.100000000000001" customHeight="1" x14ac:dyDescent="0.2">
      <c r="A11" s="18" t="s">
        <v>66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195"/>
    </row>
    <row r="12" spans="1:12" ht="20.100000000000001" customHeight="1" x14ac:dyDescent="0.2">
      <c r="A12" s="20" t="s">
        <v>57</v>
      </c>
      <c r="B12" s="21">
        <v>984369.23699999996</v>
      </c>
      <c r="C12" s="21">
        <v>216000.52499999999</v>
      </c>
      <c r="D12" s="21">
        <v>3661.1010000000001</v>
      </c>
      <c r="E12" s="21">
        <v>1062630.6880000001</v>
      </c>
      <c r="F12" s="21">
        <v>6602.2610000000004</v>
      </c>
      <c r="G12" s="21">
        <v>519398.46600000001</v>
      </c>
      <c r="H12" s="21">
        <v>96885.27</v>
      </c>
      <c r="I12" s="21">
        <v>8006.8989299999994</v>
      </c>
      <c r="J12" s="21">
        <v>1701257.0330000001</v>
      </c>
      <c r="K12" s="21">
        <v>3461963.5830000001</v>
      </c>
      <c r="L12" s="195">
        <f>SUM(B12:K12)</f>
        <v>8060775.0629300009</v>
      </c>
    </row>
    <row r="13" spans="1:12" ht="20.100000000000001" customHeight="1" x14ac:dyDescent="0.2">
      <c r="A13" s="20" t="s">
        <v>58</v>
      </c>
      <c r="B13" s="21">
        <v>-5349.8029999999999</v>
      </c>
      <c r="C13" s="21">
        <v>0</v>
      </c>
      <c r="D13" s="21">
        <v>0</v>
      </c>
      <c r="E13" s="21">
        <v>46074.608999999997</v>
      </c>
      <c r="F13" s="21">
        <v>0</v>
      </c>
      <c r="G13" s="21">
        <v>0</v>
      </c>
      <c r="H13" s="21">
        <v>4580.402</v>
      </c>
      <c r="I13" s="21">
        <v>0</v>
      </c>
      <c r="J13" s="21">
        <v>32687.919999999998</v>
      </c>
      <c r="K13" s="21">
        <v>52676.057999999997</v>
      </c>
      <c r="L13" s="195">
        <f t="shared" ref="L13:L14" si="1">SUM(B13:K13)</f>
        <v>130669.18599999999</v>
      </c>
    </row>
    <row r="14" spans="1:12" ht="20.100000000000001" customHeight="1" x14ac:dyDescent="0.2">
      <c r="A14" s="20" t="s">
        <v>59</v>
      </c>
      <c r="B14" s="21">
        <v>989719.04000000004</v>
      </c>
      <c r="C14" s="21">
        <v>216000.52499999999</v>
      </c>
      <c r="D14" s="21">
        <v>3661.1010000000001</v>
      </c>
      <c r="E14" s="21">
        <v>1016556.079</v>
      </c>
      <c r="F14" s="21">
        <v>6602.2610000000004</v>
      </c>
      <c r="G14" s="21">
        <v>519398.46600000001</v>
      </c>
      <c r="H14" s="21">
        <v>92304.868000000002</v>
      </c>
      <c r="I14" s="21">
        <v>8006.8989299999994</v>
      </c>
      <c r="J14" s="21">
        <v>1668569.1129999999</v>
      </c>
      <c r="K14" s="21">
        <v>3409287.5249999999</v>
      </c>
      <c r="L14" s="195">
        <f t="shared" si="1"/>
        <v>7930105.8769300003</v>
      </c>
    </row>
    <row r="15" spans="1:12" ht="20.100000000000001" customHeight="1" x14ac:dyDescent="0.2">
      <c r="A15" s="18" t="s">
        <v>67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195"/>
    </row>
    <row r="16" spans="1:12" ht="20.100000000000001" customHeight="1" x14ac:dyDescent="0.2">
      <c r="A16" s="20" t="s">
        <v>60</v>
      </c>
      <c r="B16" s="21">
        <v>7398.3140000000003</v>
      </c>
      <c r="C16" s="21">
        <v>0</v>
      </c>
      <c r="D16" s="21">
        <v>13</v>
      </c>
      <c r="E16" s="21">
        <v>42815.402000000002</v>
      </c>
      <c r="F16" s="21">
        <v>0</v>
      </c>
      <c r="G16" s="21">
        <v>0</v>
      </c>
      <c r="H16" s="21">
        <v>2004.8389999999999</v>
      </c>
      <c r="I16" s="21">
        <v>0</v>
      </c>
      <c r="J16" s="21">
        <v>46629.805999999997</v>
      </c>
      <c r="K16" s="21">
        <v>74023.828999999998</v>
      </c>
      <c r="L16" s="195">
        <f>SUM(B16:K16)</f>
        <v>172885.19</v>
      </c>
    </row>
    <row r="17" spans="1:12" ht="20.100000000000001" customHeight="1" x14ac:dyDescent="0.2">
      <c r="A17" s="20" t="s">
        <v>61</v>
      </c>
      <c r="B17" s="21">
        <v>130517.452</v>
      </c>
      <c r="C17" s="21">
        <v>6974.2860000000001</v>
      </c>
      <c r="D17" s="21">
        <v>6</v>
      </c>
      <c r="E17" s="21">
        <v>77299.899999999994</v>
      </c>
      <c r="F17" s="21">
        <v>0</v>
      </c>
      <c r="G17" s="21">
        <v>24588.238000000001</v>
      </c>
      <c r="H17" s="21">
        <v>4279.6620000000003</v>
      </c>
      <c r="I17" s="21">
        <v>0</v>
      </c>
      <c r="J17" s="21">
        <v>66315.313999999998</v>
      </c>
      <c r="K17" s="21">
        <v>183959.758</v>
      </c>
      <c r="L17" s="195">
        <f t="shared" ref="L17:L22" si="2">SUM(B17:K17)</f>
        <v>493940.61</v>
      </c>
    </row>
    <row r="18" spans="1:12" ht="20.100000000000001" customHeight="1" x14ac:dyDescent="0.2">
      <c r="A18" s="20" t="s">
        <v>59</v>
      </c>
      <c r="B18" s="21">
        <v>-123119.13800000001</v>
      </c>
      <c r="C18" s="21">
        <v>-6974.2860000000001</v>
      </c>
      <c r="D18" s="21">
        <v>8</v>
      </c>
      <c r="E18" s="21">
        <v>-34484.498</v>
      </c>
      <c r="F18" s="21">
        <v>0</v>
      </c>
      <c r="G18" s="21">
        <v>-24588.238000000001</v>
      </c>
      <c r="H18" s="21">
        <v>-2274.8229999999999</v>
      </c>
      <c r="I18" s="21">
        <v>0</v>
      </c>
      <c r="J18" s="21">
        <v>-19685.508000000002</v>
      </c>
      <c r="K18" s="21">
        <v>-109935.929</v>
      </c>
      <c r="L18" s="195">
        <f t="shared" si="2"/>
        <v>-321054.42000000004</v>
      </c>
    </row>
    <row r="19" spans="1:12" ht="20.100000000000001" customHeight="1" x14ac:dyDescent="0.2">
      <c r="A19" s="20" t="s">
        <v>27</v>
      </c>
      <c r="B19" s="21">
        <v>312685.38799999998</v>
      </c>
      <c r="C19" s="21">
        <v>37725.188769999986</v>
      </c>
      <c r="D19" s="21">
        <v>812.72900000000004</v>
      </c>
      <c r="E19" s="21">
        <v>168992.552</v>
      </c>
      <c r="F19" s="21">
        <v>813.97400000000005</v>
      </c>
      <c r="G19" s="21">
        <v>44560.608999999997</v>
      </c>
      <c r="H19" s="21">
        <v>31968.026000000002</v>
      </c>
      <c r="I19" s="21">
        <v>307.03796</v>
      </c>
      <c r="J19" s="21">
        <v>234280.859</v>
      </c>
      <c r="K19" s="21">
        <v>624742.69900000002</v>
      </c>
      <c r="L19" s="195">
        <f t="shared" si="2"/>
        <v>1456889.0627299999</v>
      </c>
    </row>
    <row r="20" spans="1:12" ht="20.100000000000001" customHeight="1" x14ac:dyDescent="0.2">
      <c r="A20" s="20" t="s">
        <v>28</v>
      </c>
      <c r="B20" s="21">
        <v>0</v>
      </c>
      <c r="C20" s="21">
        <v>0</v>
      </c>
      <c r="D20" s="21">
        <v>475.88600000000002</v>
      </c>
      <c r="E20" s="21">
        <v>0</v>
      </c>
      <c r="F20" s="21">
        <v>19.122</v>
      </c>
      <c r="G20" s="21">
        <v>0</v>
      </c>
      <c r="H20" s="21">
        <v>0</v>
      </c>
      <c r="I20" s="21">
        <v>0</v>
      </c>
      <c r="J20" s="21">
        <v>86780.794999999998</v>
      </c>
      <c r="K20" s="21">
        <v>0</v>
      </c>
      <c r="L20" s="195">
        <f t="shared" si="2"/>
        <v>87275.803</v>
      </c>
    </row>
    <row r="21" spans="1:12" ht="20.100000000000001" customHeight="1" x14ac:dyDescent="0.2">
      <c r="A21" s="22" t="s">
        <v>29</v>
      </c>
      <c r="B21" s="21">
        <v>7621510.4170000004</v>
      </c>
      <c r="C21" s="21">
        <v>1002428.5110000001</v>
      </c>
      <c r="D21" s="21">
        <v>34907.171999999999</v>
      </c>
      <c r="E21" s="21">
        <v>7794209</v>
      </c>
      <c r="F21" s="21">
        <v>41757.108999999997</v>
      </c>
      <c r="G21" s="21">
        <v>3965829.1710000001</v>
      </c>
      <c r="H21" s="21">
        <v>568727.44799999997</v>
      </c>
      <c r="I21" s="21">
        <v>37946.127</v>
      </c>
      <c r="J21" s="21">
        <v>10768439.028999999</v>
      </c>
      <c r="K21" s="21">
        <v>45199804.237999998</v>
      </c>
      <c r="L21" s="195">
        <f t="shared" si="2"/>
        <v>77035558.222000003</v>
      </c>
    </row>
    <row r="22" spans="1:12" ht="20.100000000000001" customHeight="1" x14ac:dyDescent="0.2">
      <c r="A22" s="24" t="s">
        <v>63</v>
      </c>
      <c r="B22" s="21">
        <v>7800110.7640000004</v>
      </c>
      <c r="C22" s="21">
        <v>933072.36422999995</v>
      </c>
      <c r="D22" s="21">
        <v>34985.581989999991</v>
      </c>
      <c r="E22" s="21">
        <v>7778399</v>
      </c>
      <c r="F22" s="21">
        <v>37269.292000000001</v>
      </c>
      <c r="G22" s="21">
        <v>4101911.9679999999</v>
      </c>
      <c r="H22" s="21">
        <v>560856.09900000005</v>
      </c>
      <c r="I22" s="21">
        <v>36045.707499999997</v>
      </c>
      <c r="J22" s="21">
        <v>11446848.200999999</v>
      </c>
      <c r="K22" s="21">
        <v>45084339.199000001</v>
      </c>
      <c r="L22" s="196">
        <f t="shared" si="2"/>
        <v>77813838.176719993</v>
      </c>
    </row>
    <row r="23" spans="1:12" x14ac:dyDescent="0.2">
      <c r="A23" s="16"/>
      <c r="B23" s="16"/>
    </row>
    <row r="24" spans="1:12" x14ac:dyDescent="0.2">
      <c r="A24" s="17" t="s">
        <v>62</v>
      </c>
      <c r="B24" s="17"/>
      <c r="C24" s="21"/>
      <c r="D24" s="16"/>
      <c r="E24" s="16"/>
      <c r="F24" s="16"/>
      <c r="G24" s="16"/>
      <c r="H24" s="16"/>
      <c r="I24" s="16"/>
      <c r="J24" s="16"/>
      <c r="K24" s="16"/>
      <c r="L24" s="16"/>
    </row>
    <row r="25" spans="1:12" x14ac:dyDescent="0.2">
      <c r="A25" s="17" t="s">
        <v>87</v>
      </c>
      <c r="B25" s="17"/>
      <c r="C25" s="16"/>
      <c r="D25" s="16"/>
      <c r="E25" s="16"/>
      <c r="F25" s="16"/>
      <c r="G25" s="16"/>
      <c r="H25" s="16"/>
      <c r="I25" s="16"/>
      <c r="J25" s="16"/>
      <c r="K25" s="16"/>
      <c r="L25" s="16"/>
    </row>
    <row r="26" spans="1:12" x14ac:dyDescent="0.2">
      <c r="A26" s="25" t="s">
        <v>76</v>
      </c>
      <c r="B26" s="25"/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7" spans="1:12" x14ac:dyDescent="0.2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</sheetData>
  <mergeCells count="3">
    <mergeCell ref="A1:L1"/>
    <mergeCell ref="A2:L2"/>
    <mergeCell ref="A3:L3"/>
  </mergeCells>
  <pageMargins left="0.7" right="0.7" top="0.75" bottom="0.75" header="0.3" footer="0.3"/>
  <pageSetup scale="6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zoomScaleNormal="100" workbookViewId="0">
      <pane ySplit="4" topLeftCell="A5" activePane="bottomLeft" state="frozen"/>
      <selection activeCell="H16" sqref="H16"/>
      <selection pane="bottomLeft" activeCell="H16" sqref="H16"/>
    </sheetView>
  </sheetViews>
  <sheetFormatPr defaultRowHeight="12.75" x14ac:dyDescent="0.2"/>
  <cols>
    <col min="1" max="1" width="30.7109375" style="11" customWidth="1"/>
    <col min="2" max="7" width="15.7109375" style="11" customWidth="1"/>
    <col min="8" max="8" width="17.7109375" style="11" customWidth="1"/>
    <col min="9" max="12" width="15.7109375" style="11" customWidth="1"/>
  </cols>
  <sheetData>
    <row r="1" spans="1:12" ht="12.95" customHeight="1" x14ac:dyDescent="0.2">
      <c r="A1" s="198" t="s">
        <v>0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</row>
    <row r="2" spans="1:12" ht="12.95" customHeight="1" x14ac:dyDescent="0.2">
      <c r="A2" s="198" t="s">
        <v>82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</row>
    <row r="3" spans="1:12" ht="14.1" customHeight="1" x14ac:dyDescent="0.2">
      <c r="A3" s="199" t="s">
        <v>71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</row>
    <row r="4" spans="1:12" ht="44.25" customHeight="1" x14ac:dyDescent="0.2">
      <c r="A4" s="12"/>
      <c r="B4" s="12" t="s">
        <v>83</v>
      </c>
      <c r="C4" s="12" t="s">
        <v>50</v>
      </c>
      <c r="D4" s="12" t="s">
        <v>77</v>
      </c>
      <c r="E4" s="12" t="s">
        <v>51</v>
      </c>
      <c r="F4" s="12" t="s">
        <v>78</v>
      </c>
      <c r="G4" s="12" t="s">
        <v>10</v>
      </c>
      <c r="H4" s="197" t="s">
        <v>85</v>
      </c>
      <c r="I4" s="12" t="s">
        <v>79</v>
      </c>
      <c r="J4" s="12" t="s">
        <v>55</v>
      </c>
      <c r="K4" s="12" t="s">
        <v>74</v>
      </c>
      <c r="L4" s="13" t="s">
        <v>15</v>
      </c>
    </row>
    <row r="5" spans="1:12" ht="20.100000000000001" customHeight="1" x14ac:dyDescent="0.2">
      <c r="A5" s="18" t="s">
        <v>56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4"/>
    </row>
    <row r="6" spans="1:12" ht="20.100000000000001" customHeight="1" x14ac:dyDescent="0.2">
      <c r="A6" s="20" t="s">
        <v>57</v>
      </c>
      <c r="B6" s="21">
        <v>1601267.4140000001</v>
      </c>
      <c r="C6" s="21">
        <v>252169.421</v>
      </c>
      <c r="D6" s="21">
        <v>1608.912</v>
      </c>
      <c r="E6" s="21">
        <v>1100079.4099999999</v>
      </c>
      <c r="F6" s="21">
        <v>2710.7820000000002</v>
      </c>
      <c r="G6" s="21">
        <v>457813.59</v>
      </c>
      <c r="H6" s="21">
        <v>104773.304</v>
      </c>
      <c r="I6" s="21">
        <v>6721.0190000000002</v>
      </c>
      <c r="J6" s="21">
        <v>2382164.8790000002</v>
      </c>
      <c r="K6" s="21">
        <v>4821112.8470000001</v>
      </c>
      <c r="L6" s="195">
        <f>SUM(B6:K6)</f>
        <v>10730421.578000002</v>
      </c>
    </row>
    <row r="7" spans="1:12" ht="20.100000000000001" customHeight="1" x14ac:dyDescent="0.2">
      <c r="A7" s="20" t="s">
        <v>58</v>
      </c>
      <c r="B7" s="21">
        <v>24838.339</v>
      </c>
      <c r="C7" s="21">
        <v>19026.069</v>
      </c>
      <c r="D7" s="21">
        <v>31.887</v>
      </c>
      <c r="E7" s="21">
        <v>136721.30900000001</v>
      </c>
      <c r="F7" s="21">
        <v>418.64800000000002</v>
      </c>
      <c r="G7" s="21">
        <v>0</v>
      </c>
      <c r="H7" s="21">
        <v>9339.4210000000003</v>
      </c>
      <c r="I7" s="21">
        <v>900</v>
      </c>
      <c r="J7" s="21">
        <v>153187.67300000001</v>
      </c>
      <c r="K7" s="21">
        <v>144881.03</v>
      </c>
      <c r="L7" s="195">
        <f t="shared" ref="L7:L10" si="0">SUM(B7:K7)</f>
        <v>489344.37600000005</v>
      </c>
    </row>
    <row r="8" spans="1:12" ht="20.100000000000001" customHeight="1" x14ac:dyDescent="0.2">
      <c r="A8" s="20" t="s">
        <v>59</v>
      </c>
      <c r="B8" s="21">
        <v>1576429.075</v>
      </c>
      <c r="C8" s="21">
        <v>233143.35200000001</v>
      </c>
      <c r="D8" s="21">
        <v>1577.0250000000001</v>
      </c>
      <c r="E8" s="21">
        <v>963358.10100000002</v>
      </c>
      <c r="F8" s="21">
        <v>2292.134</v>
      </c>
      <c r="G8" s="21">
        <v>457813.59</v>
      </c>
      <c r="H8" s="21">
        <v>95433.883000000002</v>
      </c>
      <c r="I8" s="21">
        <v>5821.0190000000002</v>
      </c>
      <c r="J8" s="21">
        <v>2228977.2059999998</v>
      </c>
      <c r="K8" s="21">
        <v>4676231.8169999998</v>
      </c>
      <c r="L8" s="195">
        <f t="shared" si="0"/>
        <v>10241077.202</v>
      </c>
    </row>
    <row r="9" spans="1:12" ht="20.100000000000001" customHeight="1" x14ac:dyDescent="0.2">
      <c r="A9" s="20" t="s">
        <v>20</v>
      </c>
      <c r="B9" s="21">
        <v>103730.04300000001</v>
      </c>
      <c r="C9" s="21">
        <v>37609.476000000002</v>
      </c>
      <c r="D9" s="21">
        <v>555.66800000000001</v>
      </c>
      <c r="E9" s="21">
        <v>614478.51899999997</v>
      </c>
      <c r="F9" s="21">
        <v>986.4</v>
      </c>
      <c r="G9" s="21">
        <v>306146.42</v>
      </c>
      <c r="H9" s="21">
        <v>22685.021000000001</v>
      </c>
      <c r="I9" s="21">
        <v>1764.9788399999998</v>
      </c>
      <c r="J9" s="21">
        <v>688972.99600000004</v>
      </c>
      <c r="K9" s="21">
        <v>2259708.5380000002</v>
      </c>
      <c r="L9" s="195">
        <f t="shared" si="0"/>
        <v>4036638.0598400002</v>
      </c>
    </row>
    <row r="10" spans="1:12" ht="20.100000000000001" customHeight="1" x14ac:dyDescent="0.2">
      <c r="A10" s="20" t="s">
        <v>65</v>
      </c>
      <c r="B10" s="21">
        <v>23657.241999999998</v>
      </c>
      <c r="C10" s="21">
        <v>0</v>
      </c>
      <c r="D10" s="21">
        <v>1.6</v>
      </c>
      <c r="E10" s="21">
        <v>6102.92</v>
      </c>
      <c r="F10" s="21">
        <v>5</v>
      </c>
      <c r="G10" s="21">
        <v>0</v>
      </c>
      <c r="H10" s="21">
        <v>9610.3070000000007</v>
      </c>
      <c r="I10" s="21">
        <v>585</v>
      </c>
      <c r="J10" s="21">
        <v>1392.1790000000001</v>
      </c>
      <c r="K10" s="21">
        <v>268813.15399999998</v>
      </c>
      <c r="L10" s="195">
        <f t="shared" si="0"/>
        <v>310167.402</v>
      </c>
    </row>
    <row r="11" spans="1:12" ht="20.100000000000001" customHeight="1" x14ac:dyDescent="0.2">
      <c r="A11" s="18" t="s">
        <v>66</v>
      </c>
      <c r="B11" s="21">
        <v>0</v>
      </c>
      <c r="C11" s="21"/>
      <c r="D11" s="21"/>
      <c r="E11" s="21"/>
      <c r="F11" s="21"/>
      <c r="G11" s="21"/>
      <c r="H11" s="21"/>
      <c r="I11" s="21"/>
      <c r="J11" s="21"/>
      <c r="K11" s="21"/>
      <c r="L11" s="195"/>
    </row>
    <row r="12" spans="1:12" ht="20.100000000000001" customHeight="1" x14ac:dyDescent="0.2">
      <c r="A12" s="20" t="s">
        <v>57</v>
      </c>
      <c r="B12" s="21">
        <v>841628.53599999996</v>
      </c>
      <c r="C12" s="21">
        <v>205665.06</v>
      </c>
      <c r="D12" s="21">
        <v>4488.3869999999997</v>
      </c>
      <c r="E12" s="21">
        <v>622911.73400000005</v>
      </c>
      <c r="F12" s="21">
        <v>10929.828</v>
      </c>
      <c r="G12" s="21">
        <v>442670.68199999997</v>
      </c>
      <c r="H12" s="21">
        <v>123945.019</v>
      </c>
      <c r="I12" s="21">
        <v>10090.062</v>
      </c>
      <c r="J12" s="21">
        <v>1698015.4539999999</v>
      </c>
      <c r="K12" s="21">
        <v>3736042.389</v>
      </c>
      <c r="L12" s="195">
        <f>SUM(B12:K12)</f>
        <v>7696387.1509999996</v>
      </c>
    </row>
    <row r="13" spans="1:12" ht="20.100000000000001" customHeight="1" x14ac:dyDescent="0.2">
      <c r="A13" s="20" t="s">
        <v>58</v>
      </c>
      <c r="B13" s="21">
        <v>-17017.412</v>
      </c>
      <c r="C13" s="21">
        <v>0</v>
      </c>
      <c r="D13" s="21">
        <v>0</v>
      </c>
      <c r="E13" s="21">
        <v>32471.616999999998</v>
      </c>
      <c r="F13" s="21">
        <v>0</v>
      </c>
      <c r="G13" s="21">
        <v>0</v>
      </c>
      <c r="H13" s="21">
        <v>3697.3270000000002</v>
      </c>
      <c r="I13" s="21">
        <v>0</v>
      </c>
      <c r="J13" s="21">
        <v>55552.569000000003</v>
      </c>
      <c r="K13" s="21">
        <v>31156.422999999999</v>
      </c>
      <c r="L13" s="195">
        <f t="shared" ref="L13:L14" si="1">SUM(B13:K13)</f>
        <v>105860.52399999999</v>
      </c>
    </row>
    <row r="14" spans="1:12" ht="20.100000000000001" customHeight="1" x14ac:dyDescent="0.2">
      <c r="A14" s="20" t="s">
        <v>59</v>
      </c>
      <c r="B14" s="21">
        <v>858645.94799999997</v>
      </c>
      <c r="C14" s="21">
        <v>205665.06</v>
      </c>
      <c r="D14" s="21">
        <v>4488.3869999999997</v>
      </c>
      <c r="E14" s="21">
        <v>590440.11699999997</v>
      </c>
      <c r="F14" s="21">
        <v>10929.828</v>
      </c>
      <c r="G14" s="21">
        <v>442670.68199999997</v>
      </c>
      <c r="H14" s="21">
        <v>120247.692</v>
      </c>
      <c r="I14" s="21">
        <v>10090.062</v>
      </c>
      <c r="J14" s="21">
        <v>1642462.885</v>
      </c>
      <c r="K14" s="21">
        <v>3704885.966</v>
      </c>
      <c r="L14" s="195">
        <f t="shared" si="1"/>
        <v>7590526.6269999994</v>
      </c>
    </row>
    <row r="15" spans="1:12" ht="20.100000000000001" customHeight="1" x14ac:dyDescent="0.2">
      <c r="A15" s="18" t="s">
        <v>67</v>
      </c>
      <c r="B15" s="21">
        <v>0</v>
      </c>
      <c r="C15" s="21"/>
      <c r="D15" s="21"/>
      <c r="E15" s="21"/>
      <c r="F15" s="21"/>
      <c r="G15" s="21"/>
      <c r="H15" s="21"/>
      <c r="I15" s="21"/>
      <c r="J15" s="21"/>
      <c r="K15" s="21"/>
      <c r="L15" s="195"/>
    </row>
    <row r="16" spans="1:12" ht="20.100000000000001" customHeight="1" x14ac:dyDescent="0.2">
      <c r="A16" s="20" t="s">
        <v>60</v>
      </c>
      <c r="B16" s="21">
        <v>0</v>
      </c>
      <c r="C16" s="21">
        <v>0</v>
      </c>
      <c r="D16" s="21">
        <v>3.16</v>
      </c>
      <c r="E16" s="21">
        <v>41315.366999999998</v>
      </c>
      <c r="F16" s="21">
        <v>0</v>
      </c>
      <c r="G16" s="21">
        <v>0</v>
      </c>
      <c r="H16" s="21">
        <v>3876.3919999999998</v>
      </c>
      <c r="I16" s="21">
        <v>0</v>
      </c>
      <c r="J16" s="21">
        <v>34064.637999999999</v>
      </c>
      <c r="K16" s="21">
        <v>81985.770999999993</v>
      </c>
      <c r="L16" s="195">
        <f>SUM(B16:K16)</f>
        <v>161245.32799999998</v>
      </c>
    </row>
    <row r="17" spans="1:12" ht="20.100000000000001" customHeight="1" x14ac:dyDescent="0.2">
      <c r="A17" s="20" t="s">
        <v>61</v>
      </c>
      <c r="B17" s="21">
        <v>0</v>
      </c>
      <c r="C17" s="21">
        <v>9084.0204000000012</v>
      </c>
      <c r="D17" s="21">
        <v>10.314</v>
      </c>
      <c r="E17" s="21">
        <v>62934.084999999999</v>
      </c>
      <c r="F17" s="21">
        <v>0</v>
      </c>
      <c r="G17" s="21">
        <v>23388.129000000001</v>
      </c>
      <c r="H17" s="21">
        <v>4859.5450000000001</v>
      </c>
      <c r="I17" s="21">
        <v>0</v>
      </c>
      <c r="J17" s="21">
        <v>71773.032000000007</v>
      </c>
      <c r="K17" s="21">
        <v>194601.27299999999</v>
      </c>
      <c r="L17" s="195">
        <f t="shared" ref="L17:L22" si="2">SUM(B17:K17)</f>
        <v>366650.39840000001</v>
      </c>
    </row>
    <row r="18" spans="1:12" ht="20.100000000000001" customHeight="1" x14ac:dyDescent="0.2">
      <c r="A18" s="20" t="s">
        <v>59</v>
      </c>
      <c r="B18" s="21">
        <v>0</v>
      </c>
      <c r="C18" s="21">
        <v>-9084.0204000000012</v>
      </c>
      <c r="D18" s="21">
        <v>-7.1539999999999999</v>
      </c>
      <c r="E18" s="21">
        <v>-21618.718000000001</v>
      </c>
      <c r="F18" s="21">
        <v>0</v>
      </c>
      <c r="G18" s="21">
        <v>-23388.129000000001</v>
      </c>
      <c r="H18" s="21">
        <v>-983.15300000000002</v>
      </c>
      <c r="I18" s="21">
        <v>0</v>
      </c>
      <c r="J18" s="21">
        <v>-37708.394</v>
      </c>
      <c r="K18" s="21">
        <v>-112615.50199999999</v>
      </c>
      <c r="L18" s="195">
        <f t="shared" si="2"/>
        <v>-205405.0704</v>
      </c>
    </row>
    <row r="19" spans="1:12" ht="20.100000000000001" customHeight="1" x14ac:dyDescent="0.2">
      <c r="A19" s="20" t="s">
        <v>27</v>
      </c>
      <c r="B19" s="21">
        <v>342444.864</v>
      </c>
      <c r="C19" s="21">
        <v>53888.976000000002</v>
      </c>
      <c r="D19" s="21">
        <v>951.90539999999999</v>
      </c>
      <c r="E19" s="21">
        <v>153817.27299999999</v>
      </c>
      <c r="F19" s="21">
        <v>758.63199999999995</v>
      </c>
      <c r="G19" s="21">
        <v>46350.788</v>
      </c>
      <c r="H19" s="21">
        <v>45132.065999999999</v>
      </c>
      <c r="I19" s="21">
        <v>685.21819000000005</v>
      </c>
      <c r="J19" s="21">
        <v>220741.70300000001</v>
      </c>
      <c r="K19" s="21">
        <v>767136.25600000005</v>
      </c>
      <c r="L19" s="195">
        <f t="shared" si="2"/>
        <v>1631907.6815899999</v>
      </c>
    </row>
    <row r="20" spans="1:12" ht="20.100000000000001" customHeight="1" x14ac:dyDescent="0.2">
      <c r="A20" s="20" t="s">
        <v>28</v>
      </c>
      <c r="B20" s="21">
        <v>0</v>
      </c>
      <c r="C20" s="21">
        <v>0</v>
      </c>
      <c r="D20" s="21">
        <v>0</v>
      </c>
      <c r="E20" s="21">
        <v>0</v>
      </c>
      <c r="F20" s="21">
        <v>46.713000000000001</v>
      </c>
      <c r="G20" s="21">
        <v>0</v>
      </c>
      <c r="H20" s="21">
        <v>0</v>
      </c>
      <c r="I20" s="21">
        <v>0</v>
      </c>
      <c r="J20" s="21">
        <v>-25594.624</v>
      </c>
      <c r="K20" s="21">
        <v>0</v>
      </c>
      <c r="L20" s="195">
        <f t="shared" si="2"/>
        <v>-25547.911</v>
      </c>
    </row>
    <row r="21" spans="1:12" ht="20.100000000000001" customHeight="1" x14ac:dyDescent="0.2">
      <c r="A21" s="22" t="s">
        <v>29</v>
      </c>
      <c r="B21" s="21">
        <v>7239332.449</v>
      </c>
      <c r="C21" s="21">
        <v>1001927.35</v>
      </c>
      <c r="D21" s="21">
        <v>35424</v>
      </c>
      <c r="E21" s="21">
        <v>8096197</v>
      </c>
      <c r="F21" s="21">
        <v>50063.857000000004</v>
      </c>
      <c r="G21" s="21">
        <v>3707992.0690000001</v>
      </c>
      <c r="H21" s="21">
        <v>568727</v>
      </c>
      <c r="I21" s="21">
        <v>40550</v>
      </c>
      <c r="J21" s="21">
        <v>9889716.4790000003</v>
      </c>
      <c r="K21" s="23">
        <v>40273465.136</v>
      </c>
      <c r="L21" s="195">
        <f t="shared" si="2"/>
        <v>70903395.340000004</v>
      </c>
    </row>
    <row r="22" spans="1:12" ht="20.100000000000001" customHeight="1" x14ac:dyDescent="0.2">
      <c r="A22" s="24" t="s">
        <v>63</v>
      </c>
      <c r="B22" s="15">
        <v>7621510.4170000004</v>
      </c>
      <c r="C22" s="15">
        <v>1002428.5110000001</v>
      </c>
      <c r="D22" s="15">
        <v>32028</v>
      </c>
      <c r="E22" s="15">
        <v>8796664</v>
      </c>
      <c r="F22" s="15">
        <v>41757.108999999997</v>
      </c>
      <c r="G22" s="15">
        <v>3965829.17</v>
      </c>
      <c r="H22" s="15">
        <v>531683</v>
      </c>
      <c r="I22" s="15">
        <v>37946</v>
      </c>
      <c r="J22" s="15">
        <v>10768439.028999999</v>
      </c>
      <c r="K22" s="15">
        <v>45199804.237000003</v>
      </c>
      <c r="L22" s="196">
        <f t="shared" si="2"/>
        <v>77998089.473000005</v>
      </c>
    </row>
    <row r="23" spans="1:12" x14ac:dyDescent="0.2">
      <c r="A23" s="16"/>
      <c r="B23" s="16"/>
    </row>
    <row r="24" spans="1:12" x14ac:dyDescent="0.2">
      <c r="A24" s="17" t="s">
        <v>62</v>
      </c>
      <c r="B24" s="17"/>
      <c r="C24" s="16"/>
      <c r="D24" s="16"/>
      <c r="E24" s="16"/>
      <c r="F24" s="16"/>
      <c r="G24" s="16"/>
      <c r="H24" s="16"/>
      <c r="I24" s="16"/>
      <c r="J24" s="16"/>
      <c r="K24" s="16"/>
      <c r="L24" s="16"/>
    </row>
    <row r="25" spans="1:12" x14ac:dyDescent="0.2">
      <c r="A25" s="17" t="s">
        <v>87</v>
      </c>
      <c r="B25" s="17"/>
      <c r="C25" s="16"/>
      <c r="D25" s="16"/>
      <c r="E25" s="16"/>
      <c r="F25" s="16"/>
      <c r="G25" s="16"/>
      <c r="H25" s="16"/>
      <c r="I25" s="16"/>
      <c r="J25" s="16"/>
      <c r="K25" s="16"/>
      <c r="L25" s="16"/>
    </row>
    <row r="26" spans="1:12" x14ac:dyDescent="0.2">
      <c r="A26" s="25" t="s">
        <v>76</v>
      </c>
      <c r="B26" s="25"/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7" spans="1:12" x14ac:dyDescent="0.2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</sheetData>
  <mergeCells count="3">
    <mergeCell ref="A1:L1"/>
    <mergeCell ref="A2:L2"/>
    <mergeCell ref="A3:L3"/>
  </mergeCells>
  <pageMargins left="0.7" right="0.7" top="0.75" bottom="0.75" header="0.3" footer="0.3"/>
  <pageSetup scale="6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zoomScaleNormal="100" workbookViewId="0">
      <pane ySplit="4" topLeftCell="A5" activePane="bottomLeft" state="frozen"/>
      <selection activeCell="H16" sqref="H16"/>
      <selection pane="bottomLeft" activeCell="H16" sqref="H16"/>
    </sheetView>
  </sheetViews>
  <sheetFormatPr defaultRowHeight="12.75" x14ac:dyDescent="0.2"/>
  <cols>
    <col min="1" max="1" width="30.7109375" style="11" customWidth="1"/>
    <col min="2" max="12" width="15.7109375" style="11" customWidth="1"/>
  </cols>
  <sheetData>
    <row r="1" spans="1:12" ht="12.95" customHeight="1" x14ac:dyDescent="0.2">
      <c r="A1" s="198" t="s">
        <v>0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</row>
    <row r="2" spans="1:12" ht="12.95" customHeight="1" x14ac:dyDescent="0.2">
      <c r="A2" s="198" t="s">
        <v>81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</row>
    <row r="3" spans="1:12" ht="14.1" customHeight="1" x14ac:dyDescent="0.2">
      <c r="A3" s="199" t="s">
        <v>71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</row>
    <row r="4" spans="1:12" ht="24" customHeight="1" x14ac:dyDescent="0.2">
      <c r="A4" s="12"/>
      <c r="B4" s="12" t="s">
        <v>83</v>
      </c>
      <c r="C4" s="12" t="s">
        <v>50</v>
      </c>
      <c r="D4" s="12" t="s">
        <v>77</v>
      </c>
      <c r="E4" s="12" t="s">
        <v>51</v>
      </c>
      <c r="F4" s="12" t="s">
        <v>78</v>
      </c>
      <c r="G4" s="12" t="s">
        <v>10</v>
      </c>
      <c r="H4" s="12" t="s">
        <v>53</v>
      </c>
      <c r="I4" s="12" t="s">
        <v>79</v>
      </c>
      <c r="J4" s="12" t="s">
        <v>55</v>
      </c>
      <c r="K4" s="12" t="s">
        <v>74</v>
      </c>
      <c r="L4" s="13" t="s">
        <v>15</v>
      </c>
    </row>
    <row r="5" spans="1:12" ht="20.100000000000001" customHeight="1" x14ac:dyDescent="0.2">
      <c r="A5" s="18" t="s">
        <v>56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4"/>
    </row>
    <row r="6" spans="1:12" ht="20.100000000000001" customHeight="1" x14ac:dyDescent="0.2">
      <c r="A6" s="20" t="s">
        <v>57</v>
      </c>
      <c r="B6" s="21">
        <v>1474333.96</v>
      </c>
      <c r="C6" s="21">
        <v>370124.19799999997</v>
      </c>
      <c r="D6" s="21">
        <v>1943.664</v>
      </c>
      <c r="E6" s="21">
        <v>1034009.118</v>
      </c>
      <c r="F6" s="21">
        <v>3187.4319999999998</v>
      </c>
      <c r="G6" s="21">
        <v>420124.62199999997</v>
      </c>
      <c r="H6" s="21">
        <v>119497.66800000001</v>
      </c>
      <c r="I6" s="21">
        <v>7849.1409999999996</v>
      </c>
      <c r="J6" s="21">
        <f>2145061857/1000</f>
        <v>2145061.8569999998</v>
      </c>
      <c r="K6" s="21">
        <v>4394991.4040000001</v>
      </c>
      <c r="L6" s="195">
        <f>SUM(B6:K6)</f>
        <v>9971123.0639999993</v>
      </c>
    </row>
    <row r="7" spans="1:12" ht="20.100000000000001" customHeight="1" x14ac:dyDescent="0.2">
      <c r="A7" s="20" t="s">
        <v>58</v>
      </c>
      <c r="B7" s="21">
        <v>37201.233999999997</v>
      </c>
      <c r="C7" s="21">
        <v>23994.332999999999</v>
      </c>
      <c r="D7" s="21">
        <v>98.366</v>
      </c>
      <c r="E7" s="21">
        <v>112162.202</v>
      </c>
      <c r="F7" s="21">
        <v>355.84399999999999</v>
      </c>
      <c r="G7" s="21">
        <v>0</v>
      </c>
      <c r="H7" s="21">
        <v>15948.32</v>
      </c>
      <c r="I7" s="21">
        <v>849.81600000000003</v>
      </c>
      <c r="J7" s="21">
        <v>147197.53</v>
      </c>
      <c r="K7" s="21">
        <v>162060.82999999999</v>
      </c>
      <c r="L7" s="195">
        <f t="shared" ref="L7:L10" si="0">SUM(B7:K7)</f>
        <v>499868.47499999998</v>
      </c>
    </row>
    <row r="8" spans="1:12" ht="20.100000000000001" customHeight="1" x14ac:dyDescent="0.2">
      <c r="A8" s="20" t="s">
        <v>59</v>
      </c>
      <c r="B8" s="21">
        <v>1437132.726</v>
      </c>
      <c r="C8" s="21">
        <f>C6-C7</f>
        <v>346129.86499999999</v>
      </c>
      <c r="D8" s="21">
        <f t="shared" ref="D8:K8" si="1">D6-D7</f>
        <v>1845.298</v>
      </c>
      <c r="E8" s="21">
        <f t="shared" si="1"/>
        <v>921846.91599999997</v>
      </c>
      <c r="F8" s="21">
        <f t="shared" si="1"/>
        <v>2831.5879999999997</v>
      </c>
      <c r="G8" s="21">
        <f t="shared" si="1"/>
        <v>420124.62199999997</v>
      </c>
      <c r="H8" s="21">
        <f t="shared" si="1"/>
        <v>103549.348</v>
      </c>
      <c r="I8" s="21">
        <f t="shared" si="1"/>
        <v>6999.3249999999998</v>
      </c>
      <c r="J8" s="21">
        <f t="shared" si="1"/>
        <v>1997864.3269999998</v>
      </c>
      <c r="K8" s="21">
        <f t="shared" si="1"/>
        <v>4232930.574</v>
      </c>
      <c r="L8" s="195">
        <f t="shared" si="0"/>
        <v>9471254.5889999997</v>
      </c>
    </row>
    <row r="9" spans="1:12" ht="20.100000000000001" customHeight="1" x14ac:dyDescent="0.2">
      <c r="A9" s="20" t="s">
        <v>20</v>
      </c>
      <c r="B9" s="21">
        <v>126959.667</v>
      </c>
      <c r="C9" s="21">
        <v>67543.543000000005</v>
      </c>
      <c r="D9" s="21">
        <v>937.95990999999992</v>
      </c>
      <c r="E9" s="21">
        <v>408869.94</v>
      </c>
      <c r="F9" s="21">
        <v>1106.376</v>
      </c>
      <c r="G9" s="21">
        <v>253499.14199999999</v>
      </c>
      <c r="H9" s="21">
        <v>23888.456999999999</v>
      </c>
      <c r="I9" s="21">
        <v>1082.154</v>
      </c>
      <c r="J9" s="21">
        <v>463838.571</v>
      </c>
      <c r="K9" s="21">
        <v>1910719.5870000001</v>
      </c>
      <c r="L9" s="195">
        <f t="shared" si="0"/>
        <v>3258445.3969100001</v>
      </c>
    </row>
    <row r="10" spans="1:12" ht="20.100000000000001" customHeight="1" x14ac:dyDescent="0.2">
      <c r="A10" s="20" t="s">
        <v>65</v>
      </c>
      <c r="B10" s="21">
        <v>6424.5119999999997</v>
      </c>
      <c r="C10" s="21">
        <v>0</v>
      </c>
      <c r="D10" s="21">
        <v>671.36699999999996</v>
      </c>
      <c r="E10" s="21">
        <v>5346.7719999999999</v>
      </c>
      <c r="F10" s="21">
        <v>0</v>
      </c>
      <c r="G10" s="21">
        <v>0</v>
      </c>
      <c r="H10" s="21">
        <v>18796.028999999999</v>
      </c>
      <c r="I10" s="21">
        <v>0</v>
      </c>
      <c r="J10" s="21">
        <v>229286.04199999999</v>
      </c>
      <c r="K10" s="21">
        <v>225444.54399999999</v>
      </c>
      <c r="L10" s="195">
        <f t="shared" si="0"/>
        <v>485969.26599999995</v>
      </c>
    </row>
    <row r="11" spans="1:12" ht="20.100000000000001" customHeight="1" x14ac:dyDescent="0.2">
      <c r="A11" s="18" t="s">
        <v>66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195"/>
    </row>
    <row r="12" spans="1:12" ht="20.100000000000001" customHeight="1" x14ac:dyDescent="0.2">
      <c r="A12" s="20" t="s">
        <v>57</v>
      </c>
      <c r="B12" s="21">
        <v>912734.43400000001</v>
      </c>
      <c r="C12" s="21">
        <v>212238.63500000001</v>
      </c>
      <c r="D12" s="21">
        <v>9402.6091699999997</v>
      </c>
      <c r="E12" s="21">
        <v>564231.13699999999</v>
      </c>
      <c r="F12" s="21">
        <v>5065.0309999999999</v>
      </c>
      <c r="G12" s="21">
        <v>409844.40600000002</v>
      </c>
      <c r="H12" s="21">
        <v>151281.28099999999</v>
      </c>
      <c r="I12" s="21">
        <v>8656.7489999999998</v>
      </c>
      <c r="J12" s="21">
        <f>1875596773/1000</f>
        <v>1875596.773</v>
      </c>
      <c r="K12" s="21">
        <v>3196240.48</v>
      </c>
      <c r="L12" s="195">
        <f>SUM(B12:K12)</f>
        <v>7345291.53517</v>
      </c>
    </row>
    <row r="13" spans="1:12" ht="20.100000000000001" customHeight="1" x14ac:dyDescent="0.2">
      <c r="A13" s="20" t="s">
        <v>58</v>
      </c>
      <c r="B13" s="21">
        <v>-26738.046999999999</v>
      </c>
      <c r="C13" s="21">
        <v>0</v>
      </c>
      <c r="D13" s="21">
        <v>24.331</v>
      </c>
      <c r="E13" s="21">
        <v>30230.522000000001</v>
      </c>
      <c r="F13" s="21">
        <v>0</v>
      </c>
      <c r="G13" s="21">
        <v>552.29</v>
      </c>
      <c r="H13" s="21">
        <v>8662.5059999999994</v>
      </c>
      <c r="I13" s="21">
        <v>0</v>
      </c>
      <c r="J13" s="21">
        <f>113620369/1000</f>
        <v>113620.36900000001</v>
      </c>
      <c r="K13" s="21">
        <v>23959.076000000001</v>
      </c>
      <c r="L13" s="195">
        <f t="shared" ref="L13:L14" si="2">SUM(B13:K13)</f>
        <v>150311.04700000002</v>
      </c>
    </row>
    <row r="14" spans="1:12" ht="20.100000000000001" customHeight="1" x14ac:dyDescent="0.2">
      <c r="A14" s="20" t="s">
        <v>59</v>
      </c>
      <c r="B14" s="21">
        <f>B12-B13</f>
        <v>939472.48100000003</v>
      </c>
      <c r="C14" s="21">
        <f>C12-C13</f>
        <v>212238.63500000001</v>
      </c>
      <c r="D14" s="21">
        <f t="shared" ref="D14:K14" si="3">D12-D13</f>
        <v>9378.2781699999996</v>
      </c>
      <c r="E14" s="21">
        <f t="shared" si="3"/>
        <v>534000.61499999999</v>
      </c>
      <c r="F14" s="21">
        <f t="shared" si="3"/>
        <v>5065.0309999999999</v>
      </c>
      <c r="G14" s="21">
        <f t="shared" si="3"/>
        <v>409292.11600000004</v>
      </c>
      <c r="H14" s="21">
        <f t="shared" si="3"/>
        <v>142618.77499999999</v>
      </c>
      <c r="I14" s="21">
        <f t="shared" si="3"/>
        <v>8656.7489999999998</v>
      </c>
      <c r="J14" s="21">
        <f>1761976404/1000</f>
        <v>1761976.4040000001</v>
      </c>
      <c r="K14" s="21">
        <f t="shared" si="3"/>
        <v>3172281.4040000001</v>
      </c>
      <c r="L14" s="195">
        <f t="shared" si="2"/>
        <v>7194980.4881699998</v>
      </c>
    </row>
    <row r="15" spans="1:12" ht="20.100000000000001" customHeight="1" x14ac:dyDescent="0.2">
      <c r="A15" s="18" t="s">
        <v>67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195"/>
    </row>
    <row r="16" spans="1:12" ht="20.100000000000001" customHeight="1" x14ac:dyDescent="0.2">
      <c r="A16" s="20" t="s">
        <v>60</v>
      </c>
      <c r="B16" s="21">
        <v>773.17100000000005</v>
      </c>
      <c r="C16" s="21">
        <v>0</v>
      </c>
      <c r="D16" s="21">
        <v>10.222</v>
      </c>
      <c r="E16" s="21">
        <v>34098.023999999998</v>
      </c>
      <c r="F16" s="21">
        <v>0</v>
      </c>
      <c r="G16" s="21">
        <v>0</v>
      </c>
      <c r="H16" s="21">
        <v>4177.55</v>
      </c>
      <c r="I16" s="21">
        <v>0</v>
      </c>
      <c r="J16" s="21">
        <v>23332.688999999998</v>
      </c>
      <c r="K16" s="21">
        <v>52006.982000000004</v>
      </c>
      <c r="L16" s="195">
        <f>SUM(B16:K16)</f>
        <v>114398.63800000001</v>
      </c>
    </row>
    <row r="17" spans="1:12" ht="20.100000000000001" customHeight="1" x14ac:dyDescent="0.2">
      <c r="A17" s="20" t="s">
        <v>61</v>
      </c>
      <c r="B17" s="21">
        <v>0</v>
      </c>
      <c r="C17" s="21">
        <v>13640.392</v>
      </c>
      <c r="D17" s="21">
        <v>19.126999999999999</v>
      </c>
      <c r="E17" s="21">
        <v>54687.146000000001</v>
      </c>
      <c r="F17" s="21">
        <v>0</v>
      </c>
      <c r="G17" s="21">
        <v>22773.754000000001</v>
      </c>
      <c r="H17" s="21">
        <v>9369.0339999999997</v>
      </c>
      <c r="I17" s="21">
        <v>0</v>
      </c>
      <c r="J17" s="21">
        <v>67539.657000000007</v>
      </c>
      <c r="K17" s="21">
        <v>178156.087</v>
      </c>
      <c r="L17" s="195">
        <f t="shared" ref="L17:L22" si="4">SUM(B17:K17)</f>
        <v>346185.19700000004</v>
      </c>
    </row>
    <row r="18" spans="1:12" ht="20.100000000000001" customHeight="1" x14ac:dyDescent="0.2">
      <c r="A18" s="20" t="s">
        <v>59</v>
      </c>
      <c r="B18" s="21">
        <v>773.17100000000005</v>
      </c>
      <c r="C18" s="21">
        <f>C16-C17</f>
        <v>-13640.392</v>
      </c>
      <c r="D18" s="21">
        <f t="shared" ref="D18:K18" si="5">D16-D17</f>
        <v>-8.9049999999999994</v>
      </c>
      <c r="E18" s="21">
        <f t="shared" si="5"/>
        <v>-20589.122000000003</v>
      </c>
      <c r="F18" s="21">
        <f t="shared" si="5"/>
        <v>0</v>
      </c>
      <c r="G18" s="21">
        <f t="shared" si="5"/>
        <v>-22773.754000000001</v>
      </c>
      <c r="H18" s="21">
        <f t="shared" si="5"/>
        <v>-5191.4839999999995</v>
      </c>
      <c r="I18" s="21">
        <f t="shared" si="5"/>
        <v>0</v>
      </c>
      <c r="J18" s="21">
        <f t="shared" si="5"/>
        <v>-44206.968000000008</v>
      </c>
      <c r="K18" s="21">
        <f t="shared" si="5"/>
        <v>-126149.105</v>
      </c>
      <c r="L18" s="195">
        <f t="shared" si="4"/>
        <v>-231786.55900000001</v>
      </c>
    </row>
    <row r="19" spans="1:12" ht="20.100000000000001" customHeight="1" x14ac:dyDescent="0.2">
      <c r="A19" s="20" t="s">
        <v>27</v>
      </c>
      <c r="B19" s="21">
        <v>317281.23800000001</v>
      </c>
      <c r="C19" s="21">
        <v>65315.45794</v>
      </c>
      <c r="D19" s="21">
        <v>751.97229000000004</v>
      </c>
      <c r="E19" s="21">
        <v>138983.027</v>
      </c>
      <c r="F19" s="21">
        <v>840.05899999999997</v>
      </c>
      <c r="G19" s="21">
        <v>47531.582000000002</v>
      </c>
      <c r="H19" s="21">
        <v>53403.161</v>
      </c>
      <c r="I19" s="21">
        <v>572.56100000000004</v>
      </c>
      <c r="J19" s="21">
        <f>218982334/1000</f>
        <v>218982.334</v>
      </c>
      <c r="K19" s="21">
        <v>647624.04099999997</v>
      </c>
      <c r="L19" s="195">
        <f t="shared" si="4"/>
        <v>1491285.4332300001</v>
      </c>
    </row>
    <row r="20" spans="1:12" ht="20.100000000000001" customHeight="1" x14ac:dyDescent="0.2">
      <c r="A20" s="20" t="s">
        <v>28</v>
      </c>
      <c r="B20" s="21">
        <v>0</v>
      </c>
      <c r="C20" s="21">
        <v>0</v>
      </c>
      <c r="D20" s="21">
        <v>-26.934999999999999</v>
      </c>
      <c r="E20" s="21">
        <v>0</v>
      </c>
      <c r="F20" s="21">
        <v>104.95</v>
      </c>
      <c r="G20" s="21">
        <v>0</v>
      </c>
      <c r="H20" s="21">
        <v>0</v>
      </c>
      <c r="I20" s="21">
        <v>0</v>
      </c>
      <c r="J20" s="21">
        <v>13646.405000000001</v>
      </c>
      <c r="K20" s="21"/>
      <c r="L20" s="195">
        <f t="shared" si="4"/>
        <v>13724.42</v>
      </c>
    </row>
    <row r="21" spans="1:12" ht="20.100000000000001" customHeight="1" x14ac:dyDescent="0.2">
      <c r="A21" s="22" t="s">
        <v>29</v>
      </c>
      <c r="B21" s="21">
        <v>7061220.5669999998</v>
      </c>
      <c r="C21" s="21">
        <v>877556.70499999996</v>
      </c>
      <c r="D21" s="21">
        <v>42135.578000000001</v>
      </c>
      <c r="E21" s="21">
        <v>568727.44799999997</v>
      </c>
      <c r="F21" s="21">
        <v>52406.993000000002</v>
      </c>
      <c r="G21" s="21">
        <v>7566163.2759999996</v>
      </c>
      <c r="H21" s="21">
        <v>3549842.1320000002</v>
      </c>
      <c r="I21" s="21">
        <v>39557.94</v>
      </c>
      <c r="J21" s="21">
        <f>9274614695/1000</f>
        <v>9274614.6950000003</v>
      </c>
      <c r="K21" s="23">
        <v>39556255.719999999</v>
      </c>
      <c r="L21" s="195">
        <f t="shared" si="4"/>
        <v>68588481.054000005</v>
      </c>
    </row>
    <row r="22" spans="1:12" ht="20.100000000000001" customHeight="1" x14ac:dyDescent="0.2">
      <c r="A22" s="24" t="s">
        <v>63</v>
      </c>
      <c r="B22" s="15">
        <v>7239332.449</v>
      </c>
      <c r="C22" s="15">
        <v>1001927.35</v>
      </c>
      <c r="D22" s="15">
        <v>35424.112999999998</v>
      </c>
      <c r="E22" s="15">
        <v>588556.65899999999</v>
      </c>
      <c r="F22" s="15">
        <v>50063.858999999997</v>
      </c>
      <c r="G22" s="15">
        <v>8096196.9060000004</v>
      </c>
      <c r="H22" s="15">
        <v>3707992.0690000001</v>
      </c>
      <c r="I22" s="15">
        <v>40550.409</v>
      </c>
      <c r="J22" s="15">
        <f>9889716479/1000</f>
        <v>9889716.4790000003</v>
      </c>
      <c r="K22" s="15">
        <v>40273465.136</v>
      </c>
      <c r="L22" s="196">
        <f t="shared" si="4"/>
        <v>70923225.429000005</v>
      </c>
    </row>
    <row r="23" spans="1:12" x14ac:dyDescent="0.2">
      <c r="A23" s="16"/>
      <c r="B23" s="16"/>
    </row>
    <row r="24" spans="1:12" x14ac:dyDescent="0.2">
      <c r="A24" s="17"/>
      <c r="B24" s="17"/>
      <c r="C24" s="16"/>
      <c r="D24" s="16"/>
      <c r="E24" s="16"/>
      <c r="F24" s="16"/>
      <c r="G24" s="16"/>
      <c r="H24" s="16"/>
      <c r="I24" s="16"/>
      <c r="J24" s="16"/>
      <c r="K24" s="16"/>
      <c r="L24" s="16"/>
    </row>
    <row r="25" spans="1:12" x14ac:dyDescent="0.2">
      <c r="A25" s="17" t="s">
        <v>62</v>
      </c>
      <c r="B25" s="17"/>
      <c r="C25" s="16"/>
      <c r="D25" s="16"/>
      <c r="E25" s="16"/>
      <c r="F25" s="16"/>
      <c r="G25" s="16"/>
      <c r="H25" s="16"/>
      <c r="I25" s="16"/>
      <c r="J25" s="16"/>
      <c r="K25" s="16"/>
      <c r="L25" s="16"/>
    </row>
    <row r="26" spans="1:12" x14ac:dyDescent="0.2">
      <c r="A26" s="25" t="s">
        <v>76</v>
      </c>
      <c r="B26" s="25"/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7" spans="1:12" x14ac:dyDescent="0.2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</sheetData>
  <mergeCells count="3">
    <mergeCell ref="A1:L1"/>
    <mergeCell ref="A2:L2"/>
    <mergeCell ref="A3:L3"/>
  </mergeCells>
  <pageMargins left="0.7" right="0.7" top="0.75" bottom="0.75" header="0.3" footer="0.3"/>
  <pageSetup scale="6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zoomScaleNormal="100" workbookViewId="0">
      <pane ySplit="4" topLeftCell="A5" activePane="bottomLeft" state="frozen"/>
      <selection activeCell="H16" sqref="H16"/>
      <selection pane="bottomLeft" activeCell="H16" sqref="H16"/>
    </sheetView>
  </sheetViews>
  <sheetFormatPr defaultRowHeight="12.75" x14ac:dyDescent="0.2"/>
  <cols>
    <col min="1" max="1" width="30.7109375" style="11" customWidth="1"/>
    <col min="2" max="12" width="15.7109375" style="11" customWidth="1"/>
  </cols>
  <sheetData>
    <row r="1" spans="1:12" ht="12.95" customHeight="1" x14ac:dyDescent="0.2">
      <c r="A1" s="198" t="s">
        <v>0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</row>
    <row r="2" spans="1:12" ht="12.95" customHeight="1" x14ac:dyDescent="0.2">
      <c r="A2" s="198" t="s">
        <v>80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</row>
    <row r="3" spans="1:12" ht="14.1" customHeight="1" x14ac:dyDescent="0.2">
      <c r="A3" s="199" t="s">
        <v>71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</row>
    <row r="4" spans="1:12" ht="24" customHeight="1" x14ac:dyDescent="0.2">
      <c r="A4" s="12"/>
      <c r="B4" s="12" t="s">
        <v>83</v>
      </c>
      <c r="C4" s="12" t="s">
        <v>50</v>
      </c>
      <c r="D4" s="12" t="s">
        <v>77</v>
      </c>
      <c r="E4" s="12" t="s">
        <v>51</v>
      </c>
      <c r="F4" s="12" t="s">
        <v>78</v>
      </c>
      <c r="G4" s="12" t="s">
        <v>10</v>
      </c>
      <c r="H4" s="12" t="s">
        <v>53</v>
      </c>
      <c r="I4" s="12" t="s">
        <v>79</v>
      </c>
      <c r="J4" s="12" t="s">
        <v>55</v>
      </c>
      <c r="K4" s="12" t="s">
        <v>74</v>
      </c>
      <c r="L4" s="13" t="s">
        <v>15</v>
      </c>
    </row>
    <row r="5" spans="1:12" ht="20.100000000000001" customHeight="1" x14ac:dyDescent="0.2">
      <c r="A5" s="18" t="s">
        <v>56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4"/>
    </row>
    <row r="6" spans="1:12" ht="20.100000000000001" customHeight="1" x14ac:dyDescent="0.2">
      <c r="A6" s="20" t="s">
        <v>57</v>
      </c>
      <c r="B6" s="21">
        <v>1417867.277</v>
      </c>
      <c r="C6" s="21">
        <v>246660.304</v>
      </c>
      <c r="D6" s="21">
        <v>2376.3159999999998</v>
      </c>
      <c r="E6" s="21">
        <v>876773.46100000001</v>
      </c>
      <c r="F6" s="21">
        <v>3672.0680000000002</v>
      </c>
      <c r="G6" s="21">
        <v>396458.43900000001</v>
      </c>
      <c r="H6" s="21">
        <v>120481.36900000001</v>
      </c>
      <c r="I6" s="21">
        <v>8901.6579999999994</v>
      </c>
      <c r="J6" s="21">
        <v>4746443.125</v>
      </c>
      <c r="K6" s="21">
        <v>4026740.5830000001</v>
      </c>
      <c r="L6" s="195">
        <f>SUM(B6:K6)</f>
        <v>11846374.6</v>
      </c>
    </row>
    <row r="7" spans="1:12" ht="20.100000000000001" customHeight="1" x14ac:dyDescent="0.2">
      <c r="A7" s="20" t="s">
        <v>58</v>
      </c>
      <c r="B7" s="21">
        <v>47560.391000000003</v>
      </c>
      <c r="C7" s="21">
        <v>20284.906999999999</v>
      </c>
      <c r="D7" s="21">
        <v>121.248</v>
      </c>
      <c r="E7" s="21">
        <v>94652.224000000002</v>
      </c>
      <c r="F7" s="21">
        <v>485.73700000000002</v>
      </c>
      <c r="G7" s="21">
        <v>0</v>
      </c>
      <c r="H7" s="21">
        <v>17236.798999999999</v>
      </c>
      <c r="I7" s="21">
        <v>943.59199999999998</v>
      </c>
      <c r="J7" s="21">
        <v>90250.320999999996</v>
      </c>
      <c r="K7" s="21">
        <v>160804.59099999999</v>
      </c>
      <c r="L7" s="195">
        <f t="shared" ref="L7:L21" si="0">SUM(B7:K7)</f>
        <v>432339.81000000006</v>
      </c>
    </row>
    <row r="8" spans="1:12" ht="20.100000000000001" customHeight="1" x14ac:dyDescent="0.2">
      <c r="A8" s="20" t="s">
        <v>59</v>
      </c>
      <c r="B8" s="21">
        <v>1370306.8859999999</v>
      </c>
      <c r="C8" s="21">
        <v>226375.397</v>
      </c>
      <c r="D8" s="21">
        <v>2255.0680000000002</v>
      </c>
      <c r="E8" s="21">
        <v>782121.23699999996</v>
      </c>
      <c r="F8" s="21">
        <v>3186.3310000000001</v>
      </c>
      <c r="G8" s="21">
        <v>396458.43900000001</v>
      </c>
      <c r="H8" s="21">
        <v>103244.57</v>
      </c>
      <c r="I8" s="21">
        <v>7958.0659999999998</v>
      </c>
      <c r="J8" s="21">
        <v>4656192.8039999995</v>
      </c>
      <c r="K8" s="21">
        <v>3865935.9920000001</v>
      </c>
      <c r="L8" s="195">
        <f t="shared" si="0"/>
        <v>11414034.789999999</v>
      </c>
    </row>
    <row r="9" spans="1:12" ht="20.100000000000001" customHeight="1" x14ac:dyDescent="0.2">
      <c r="A9" s="20" t="s">
        <v>20</v>
      </c>
      <c r="B9" s="21">
        <v>71502.369000000006</v>
      </c>
      <c r="C9" s="21">
        <v>104315.723</v>
      </c>
      <c r="D9" s="21">
        <v>1366.615</v>
      </c>
      <c r="E9" s="21">
        <v>829071.87100000004</v>
      </c>
      <c r="F9" s="21">
        <v>1833.337</v>
      </c>
      <c r="G9" s="21">
        <v>254811.35800000001</v>
      </c>
      <c r="H9" s="21">
        <v>45469.974999999999</v>
      </c>
      <c r="I9" s="21">
        <v>1481.1189999999999</v>
      </c>
      <c r="J9" s="21">
        <v>1700993.7139999999</v>
      </c>
      <c r="K9" s="21">
        <v>1627296.578</v>
      </c>
      <c r="L9" s="195">
        <f t="shared" si="0"/>
        <v>4638142.659</v>
      </c>
    </row>
    <row r="10" spans="1:12" ht="20.100000000000001" customHeight="1" x14ac:dyDescent="0.2">
      <c r="A10" s="20" t="s">
        <v>65</v>
      </c>
      <c r="B10" s="21">
        <v>5915.3789999999999</v>
      </c>
      <c r="C10" s="21">
        <v>0</v>
      </c>
      <c r="D10" s="21">
        <v>2489.808</v>
      </c>
      <c r="E10" s="21">
        <v>-7328.0919999999996</v>
      </c>
      <c r="F10" s="21">
        <v>14</v>
      </c>
      <c r="G10" s="21">
        <v>0</v>
      </c>
      <c r="H10" s="21">
        <v>9885.8819999999996</v>
      </c>
      <c r="I10" s="21">
        <v>0</v>
      </c>
      <c r="J10" s="21">
        <v>1387709.9310000001</v>
      </c>
      <c r="K10" s="21">
        <v>223633.19500000001</v>
      </c>
      <c r="L10" s="195">
        <f t="shared" si="0"/>
        <v>1622320.1030000001</v>
      </c>
    </row>
    <row r="11" spans="1:12" ht="20.100000000000001" customHeight="1" x14ac:dyDescent="0.2">
      <c r="A11" s="18" t="s">
        <v>66</v>
      </c>
      <c r="B11" s="21">
        <v>0</v>
      </c>
      <c r="C11" s="21"/>
      <c r="D11" s="21"/>
      <c r="E11" s="21"/>
      <c r="F11" s="21"/>
      <c r="G11" s="21"/>
      <c r="H11" s="21"/>
      <c r="I11" s="21"/>
      <c r="J11" s="21"/>
      <c r="K11" s="21"/>
      <c r="L11" s="195">
        <f t="shared" si="0"/>
        <v>0</v>
      </c>
    </row>
    <row r="12" spans="1:12" ht="20.100000000000001" customHeight="1" x14ac:dyDescent="0.2">
      <c r="A12" s="20" t="s">
        <v>57</v>
      </c>
      <c r="B12" s="21">
        <v>1160448.9069999999</v>
      </c>
      <c r="C12" s="21">
        <v>207844.951</v>
      </c>
      <c r="D12" s="21">
        <v>9471.1260000000002</v>
      </c>
      <c r="E12" s="21">
        <v>547826.33400000003</v>
      </c>
      <c r="F12" s="21">
        <v>7869.6180000000004</v>
      </c>
      <c r="G12" s="21">
        <v>376713.79</v>
      </c>
      <c r="H12" s="21">
        <v>135788.37</v>
      </c>
      <c r="I12" s="21">
        <v>6675.3410000000003</v>
      </c>
      <c r="J12" s="21">
        <v>4050674.1540000001</v>
      </c>
      <c r="K12" s="21">
        <v>2846740.932</v>
      </c>
      <c r="L12" s="195">
        <f t="shared" si="0"/>
        <v>9350053.523</v>
      </c>
    </row>
    <row r="13" spans="1:12" ht="20.100000000000001" customHeight="1" x14ac:dyDescent="0.2">
      <c r="A13" s="20" t="s">
        <v>58</v>
      </c>
      <c r="B13" s="21">
        <v>-22694.446</v>
      </c>
      <c r="C13" s="21">
        <v>0</v>
      </c>
      <c r="D13" s="21">
        <v>0</v>
      </c>
      <c r="E13" s="21">
        <v>19460.304</v>
      </c>
      <c r="F13" s="21">
        <v>0</v>
      </c>
      <c r="G13" s="21">
        <v>2299.6529999999998</v>
      </c>
      <c r="H13" s="21">
        <v>3339.098</v>
      </c>
      <c r="I13" s="21">
        <v>70</v>
      </c>
      <c r="J13" s="21">
        <v>50466.271999999997</v>
      </c>
      <c r="K13" s="21">
        <v>24832.168000000001</v>
      </c>
      <c r="L13" s="195">
        <f t="shared" si="0"/>
        <v>77773.048999999999</v>
      </c>
    </row>
    <row r="14" spans="1:12" ht="20.100000000000001" customHeight="1" x14ac:dyDescent="0.2">
      <c r="A14" s="20" t="s">
        <v>59</v>
      </c>
      <c r="B14" s="21">
        <v>1183143.3529999999</v>
      </c>
      <c r="C14" s="21">
        <v>207844.951</v>
      </c>
      <c r="D14" s="21">
        <v>9471.1260000000002</v>
      </c>
      <c r="E14" s="21">
        <v>528366.03</v>
      </c>
      <c r="F14" s="21">
        <v>7869.6180000000004</v>
      </c>
      <c r="G14" s="21">
        <v>374414.13699999999</v>
      </c>
      <c r="H14" s="21">
        <v>132449.272</v>
      </c>
      <c r="I14" s="21">
        <v>6605.3410000000003</v>
      </c>
      <c r="J14" s="21">
        <v>4000207.8820000002</v>
      </c>
      <c r="K14" s="21">
        <v>2821908.764</v>
      </c>
      <c r="L14" s="195">
        <f t="shared" si="0"/>
        <v>9272280.4739999995</v>
      </c>
    </row>
    <row r="15" spans="1:12" ht="20.100000000000001" customHeight="1" x14ac:dyDescent="0.2">
      <c r="A15" s="18" t="s">
        <v>67</v>
      </c>
      <c r="B15" s="21">
        <v>0</v>
      </c>
      <c r="C15" s="21"/>
      <c r="D15" s="21"/>
      <c r="E15" s="21"/>
      <c r="F15" s="21"/>
      <c r="G15" s="21"/>
      <c r="H15" s="21"/>
      <c r="I15" s="21"/>
      <c r="J15" s="21"/>
      <c r="K15" s="21"/>
      <c r="L15" s="195">
        <f t="shared" si="0"/>
        <v>0</v>
      </c>
    </row>
    <row r="16" spans="1:12" ht="20.100000000000001" customHeight="1" x14ac:dyDescent="0.2">
      <c r="A16" s="20" t="s">
        <v>60</v>
      </c>
      <c r="B16" s="21">
        <v>19674.491000000002</v>
      </c>
      <c r="C16" s="21">
        <v>0</v>
      </c>
      <c r="D16" s="21">
        <v>12.737</v>
      </c>
      <c r="E16" s="21">
        <v>30495.395</v>
      </c>
      <c r="F16" s="21">
        <v>0</v>
      </c>
      <c r="G16" s="21">
        <v>0</v>
      </c>
      <c r="H16" s="21">
        <v>10182.406999999999</v>
      </c>
      <c r="I16" s="21">
        <v>0</v>
      </c>
      <c r="J16" s="21">
        <v>16894.931</v>
      </c>
      <c r="K16" s="21">
        <v>0</v>
      </c>
      <c r="L16" s="195">
        <f t="shared" si="0"/>
        <v>77259.96100000001</v>
      </c>
    </row>
    <row r="17" spans="1:12" ht="20.100000000000001" customHeight="1" x14ac:dyDescent="0.2">
      <c r="A17" s="20" t="s">
        <v>61</v>
      </c>
      <c r="B17" s="21">
        <v>0</v>
      </c>
      <c r="C17" s="21">
        <v>12467.914000000001</v>
      </c>
      <c r="D17" s="21">
        <v>23.300999999999998</v>
      </c>
      <c r="E17" s="21">
        <v>48526.928999999996</v>
      </c>
      <c r="F17" s="21">
        <v>0</v>
      </c>
      <c r="G17" s="21">
        <v>21835.862000000001</v>
      </c>
      <c r="H17" s="21">
        <v>6687.8019999999997</v>
      </c>
      <c r="I17" s="21">
        <v>0</v>
      </c>
      <c r="J17" s="21">
        <v>64817.699000000001</v>
      </c>
      <c r="K17" s="21">
        <v>236313.008</v>
      </c>
      <c r="L17" s="195">
        <f t="shared" si="0"/>
        <v>390672.51500000001</v>
      </c>
    </row>
    <row r="18" spans="1:12" ht="20.100000000000001" customHeight="1" x14ac:dyDescent="0.2">
      <c r="A18" s="20" t="s">
        <v>59</v>
      </c>
      <c r="B18" s="21">
        <v>19674.491000000002</v>
      </c>
      <c r="C18" s="21">
        <v>-12467.914000000001</v>
      </c>
      <c r="D18" s="21">
        <v>-10.564</v>
      </c>
      <c r="E18" s="21">
        <v>-18031.534</v>
      </c>
      <c r="F18" s="21">
        <v>0</v>
      </c>
      <c r="G18" s="21">
        <v>-21835.862000000001</v>
      </c>
      <c r="H18" s="21">
        <v>3494.605</v>
      </c>
      <c r="I18" s="21">
        <v>0</v>
      </c>
      <c r="J18" s="21">
        <v>-47922.767999999996</v>
      </c>
      <c r="K18" s="21">
        <v>-236313.008</v>
      </c>
      <c r="L18" s="195">
        <f t="shared" si="0"/>
        <v>-313412.554</v>
      </c>
    </row>
    <row r="19" spans="1:12" ht="20.100000000000001" customHeight="1" x14ac:dyDescent="0.2">
      <c r="A19" s="20" t="s">
        <v>27</v>
      </c>
      <c r="B19" s="21">
        <v>280788.34499999997</v>
      </c>
      <c r="C19" s="21">
        <v>58980.631999999998</v>
      </c>
      <c r="D19" s="21">
        <v>697.61900000000003</v>
      </c>
      <c r="E19" s="21">
        <v>124494.94</v>
      </c>
      <c r="F19" s="21">
        <v>537.87099999999998</v>
      </c>
      <c r="G19" s="21">
        <v>48865.675999999999</v>
      </c>
      <c r="H19" s="21">
        <v>60089.78</v>
      </c>
      <c r="I19" s="21">
        <v>1190.6279999999999</v>
      </c>
      <c r="J19" s="21">
        <v>534502.18700000003</v>
      </c>
      <c r="K19" s="21">
        <v>635581.01100000006</v>
      </c>
      <c r="L19" s="195">
        <f t="shared" si="0"/>
        <v>1745728.6889999998</v>
      </c>
    </row>
    <row r="20" spans="1:12" ht="20.100000000000001" customHeight="1" x14ac:dyDescent="0.2">
      <c r="A20" s="20" t="s">
        <v>28</v>
      </c>
      <c r="B20" s="21">
        <v>0</v>
      </c>
      <c r="C20" s="21">
        <v>-619</v>
      </c>
      <c r="D20" s="21">
        <v>57.807000000000002</v>
      </c>
      <c r="E20" s="21">
        <v>0</v>
      </c>
      <c r="F20" s="21">
        <v>195.18199999999999</v>
      </c>
      <c r="G20" s="21">
        <v>0</v>
      </c>
      <c r="H20" s="21">
        <v>0</v>
      </c>
      <c r="I20" s="21">
        <v>0</v>
      </c>
      <c r="J20" s="21">
        <v>12359.255999999999</v>
      </c>
      <c r="K20" s="21">
        <v>0</v>
      </c>
      <c r="L20" s="195">
        <f t="shared" si="0"/>
        <v>11993.244999999999</v>
      </c>
    </row>
    <row r="21" spans="1:12" ht="20.100000000000001" customHeight="1" x14ac:dyDescent="0.2">
      <c r="A21" s="22" t="s">
        <v>29</v>
      </c>
      <c r="B21" s="21">
        <v>7157793.2439999999</v>
      </c>
      <c r="C21" s="21">
        <v>818301.80299999996</v>
      </c>
      <c r="D21" s="21">
        <v>46261.203000000001</v>
      </c>
      <c r="E21" s="21">
        <v>6715362.9819999998</v>
      </c>
      <c r="F21" s="21">
        <v>55875.12</v>
      </c>
      <c r="G21" s="21">
        <v>3379415.4049999998</v>
      </c>
      <c r="H21" s="21">
        <v>620053.66799999995</v>
      </c>
      <c r="I21" s="21">
        <v>35275.491000000002</v>
      </c>
      <c r="J21" s="21">
        <v>35115230.435999997</v>
      </c>
      <c r="K21" s="23">
        <v>34206383.868000001</v>
      </c>
      <c r="L21" s="195">
        <f t="shared" si="0"/>
        <v>88149953.219999999</v>
      </c>
    </row>
    <row r="22" spans="1:12" ht="20.100000000000001" customHeight="1" x14ac:dyDescent="0.2">
      <c r="A22" s="24" t="s">
        <v>63</v>
      </c>
      <c r="B22" s="15">
        <v>7061220.5669999998</v>
      </c>
      <c r="C22" s="15">
        <v>877556.70499999996</v>
      </c>
      <c r="D22" s="15">
        <v>42135.578000000001</v>
      </c>
      <c r="E22" s="15">
        <v>7566163.2759999996</v>
      </c>
      <c r="F22" s="15">
        <v>52406.993000000002</v>
      </c>
      <c r="G22" s="15">
        <v>3549842.1320000002</v>
      </c>
      <c r="H22" s="15">
        <v>568727.44799999997</v>
      </c>
      <c r="I22" s="15">
        <v>38557.94</v>
      </c>
      <c r="J22" s="15">
        <v>38237884.792000003</v>
      </c>
      <c r="K22" s="15">
        <v>39556253.719999999</v>
      </c>
      <c r="L22" s="195">
        <f>SUM(B22:K22)</f>
        <v>97550749.150999993</v>
      </c>
    </row>
    <row r="23" spans="1:12" x14ac:dyDescent="0.2">
      <c r="A23" s="16"/>
      <c r="B23" s="16"/>
    </row>
    <row r="24" spans="1:12" x14ac:dyDescent="0.2">
      <c r="A24" s="17"/>
      <c r="B24" s="17"/>
      <c r="C24" s="16"/>
      <c r="D24" s="16"/>
      <c r="E24" s="16"/>
      <c r="F24" s="16"/>
      <c r="G24" s="16"/>
      <c r="H24" s="16"/>
      <c r="I24" s="16"/>
      <c r="J24" s="16"/>
      <c r="K24" s="16"/>
      <c r="L24" s="16"/>
    </row>
    <row r="25" spans="1:12" x14ac:dyDescent="0.2">
      <c r="A25" s="17" t="s">
        <v>62</v>
      </c>
      <c r="B25" s="17"/>
      <c r="C25" s="16"/>
      <c r="D25" s="16"/>
      <c r="E25" s="16"/>
      <c r="F25" s="16"/>
      <c r="G25" s="16"/>
      <c r="H25" s="16"/>
      <c r="I25" s="16"/>
      <c r="J25" s="16"/>
      <c r="K25" s="16"/>
      <c r="L25" s="16"/>
    </row>
    <row r="26" spans="1:12" x14ac:dyDescent="0.2">
      <c r="A26" s="25" t="s">
        <v>76</v>
      </c>
      <c r="B26" s="25"/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7" spans="1:12" x14ac:dyDescent="0.2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</sheetData>
  <mergeCells count="3">
    <mergeCell ref="A1:L1"/>
    <mergeCell ref="A2:L2"/>
    <mergeCell ref="A3:L3"/>
  </mergeCells>
  <pageMargins left="0.7" right="0.7" top="0.75" bottom="0.75" header="0.3" footer="0.3"/>
  <pageSetup scale="67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zoomScaleNormal="100" workbookViewId="0">
      <pane ySplit="4" topLeftCell="A5" activePane="bottomLeft" state="frozen"/>
      <selection activeCell="H16" sqref="H16"/>
      <selection pane="bottomLeft" activeCell="H16" sqref="H16"/>
    </sheetView>
  </sheetViews>
  <sheetFormatPr defaultRowHeight="12.75" x14ac:dyDescent="0.2"/>
  <cols>
    <col min="1" max="1" width="30.7109375" style="11" customWidth="1"/>
    <col min="2" max="12" width="15.7109375" style="11" customWidth="1"/>
  </cols>
  <sheetData>
    <row r="1" spans="1:12" ht="12.95" customHeight="1" x14ac:dyDescent="0.2">
      <c r="A1" s="198" t="s">
        <v>0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</row>
    <row r="2" spans="1:12" ht="12.95" customHeight="1" x14ac:dyDescent="0.2">
      <c r="A2" s="198" t="s">
        <v>75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</row>
    <row r="3" spans="1:12" ht="14.1" customHeight="1" x14ac:dyDescent="0.2">
      <c r="A3" s="199" t="s">
        <v>71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</row>
    <row r="4" spans="1:12" ht="24" customHeight="1" x14ac:dyDescent="0.2">
      <c r="A4" s="12"/>
      <c r="B4" s="12" t="s">
        <v>83</v>
      </c>
      <c r="C4" s="12" t="s">
        <v>50</v>
      </c>
      <c r="D4" s="12" t="s">
        <v>77</v>
      </c>
      <c r="E4" s="12" t="s">
        <v>51</v>
      </c>
      <c r="F4" s="12" t="s">
        <v>78</v>
      </c>
      <c r="G4" s="12" t="s">
        <v>10</v>
      </c>
      <c r="H4" s="12" t="s">
        <v>53</v>
      </c>
      <c r="I4" s="12" t="s">
        <v>79</v>
      </c>
      <c r="J4" s="12" t="s">
        <v>55</v>
      </c>
      <c r="K4" s="12" t="s">
        <v>74</v>
      </c>
      <c r="L4" s="13" t="s">
        <v>15</v>
      </c>
    </row>
    <row r="5" spans="1:12" ht="20.100000000000001" customHeight="1" x14ac:dyDescent="0.2">
      <c r="A5" s="18" t="s">
        <v>56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4"/>
    </row>
    <row r="6" spans="1:12" ht="20.100000000000001" customHeight="1" x14ac:dyDescent="0.2">
      <c r="A6" s="20" t="s">
        <v>57</v>
      </c>
      <c r="B6" s="21">
        <v>1363228.112</v>
      </c>
      <c r="C6" s="21">
        <v>213170.78400000001</v>
      </c>
      <c r="D6" s="21">
        <v>2826.2489999999998</v>
      </c>
      <c r="E6" s="21">
        <v>778789.11600000004</v>
      </c>
      <c r="F6" s="21">
        <v>3962.288</v>
      </c>
      <c r="G6" s="21">
        <v>385283.43781999999</v>
      </c>
      <c r="H6" s="21">
        <v>157431.54699999999</v>
      </c>
      <c r="I6" s="21">
        <v>9841.4339999999993</v>
      </c>
      <c r="J6" s="21">
        <v>4311372.7949999999</v>
      </c>
      <c r="K6" s="21">
        <v>3859237.23924</v>
      </c>
      <c r="L6" s="195">
        <f>SUM(B6:K6)</f>
        <v>11085143.00206</v>
      </c>
    </row>
    <row r="7" spans="1:12" ht="20.100000000000001" customHeight="1" x14ac:dyDescent="0.2">
      <c r="A7" s="20" t="s">
        <v>58</v>
      </c>
      <c r="B7" s="21">
        <v>48557.260999999999</v>
      </c>
      <c r="C7" s="21">
        <v>14686.981059999998</v>
      </c>
      <c r="D7" s="21">
        <v>133.547</v>
      </c>
      <c r="E7" s="21">
        <v>73249.937000000005</v>
      </c>
      <c r="F7" s="21">
        <v>514.19399999999996</v>
      </c>
      <c r="G7" s="21">
        <v>0</v>
      </c>
      <c r="H7" s="21">
        <v>19347.356</v>
      </c>
      <c r="I7" s="21">
        <v>1124.8800000000001</v>
      </c>
      <c r="J7" s="21">
        <v>126886.20699999999</v>
      </c>
      <c r="K7" s="21">
        <v>167141.08468</v>
      </c>
      <c r="L7" s="195">
        <f t="shared" ref="L7:L22" si="0">SUM(B7:K7)</f>
        <v>451641.44773999997</v>
      </c>
    </row>
    <row r="8" spans="1:12" ht="20.100000000000001" customHeight="1" x14ac:dyDescent="0.2">
      <c r="A8" s="20" t="s">
        <v>59</v>
      </c>
      <c r="B8" s="21">
        <v>1314670.851</v>
      </c>
      <c r="C8" s="21">
        <v>198483.80293999999</v>
      </c>
      <c r="D8" s="21">
        <v>2692.7020000000002</v>
      </c>
      <c r="E8" s="21">
        <v>705539.179</v>
      </c>
      <c r="F8" s="21">
        <v>3448.0940000000001</v>
      </c>
      <c r="G8" s="21">
        <v>385283.43781999999</v>
      </c>
      <c r="H8" s="21">
        <v>138084.19099999999</v>
      </c>
      <c r="I8" s="21">
        <v>8716.5540000000001</v>
      </c>
      <c r="J8" s="21">
        <v>4184486.588</v>
      </c>
      <c r="K8" s="21">
        <v>3692096.1545600002</v>
      </c>
      <c r="L8" s="195">
        <f t="shared" si="0"/>
        <v>10633501.55432</v>
      </c>
    </row>
    <row r="9" spans="1:12" ht="20.100000000000001" customHeight="1" x14ac:dyDescent="0.2">
      <c r="A9" s="20" t="s">
        <v>20</v>
      </c>
      <c r="B9" s="21">
        <v>16586.906999999999</v>
      </c>
      <c r="C9" s="21">
        <v>63893.589625699977</v>
      </c>
      <c r="D9" s="21">
        <v>1707.85</v>
      </c>
      <c r="E9" s="21">
        <v>386174.14399999997</v>
      </c>
      <c r="F9" s="21">
        <v>1712.104</v>
      </c>
      <c r="G9" s="21">
        <v>263527.56</v>
      </c>
      <c r="H9" s="21">
        <v>4213.0173769999992</v>
      </c>
      <c r="I9" s="21">
        <v>1360.8023500000002</v>
      </c>
      <c r="J9" s="21">
        <v>1663210.5419999999</v>
      </c>
      <c r="K9" s="21">
        <v>2529010.0998400012</v>
      </c>
      <c r="L9" s="195">
        <f t="shared" si="0"/>
        <v>4931396.6161927013</v>
      </c>
    </row>
    <row r="10" spans="1:12" ht="20.100000000000001" customHeight="1" x14ac:dyDescent="0.2">
      <c r="A10" s="20" t="s">
        <v>65</v>
      </c>
      <c r="B10" s="21">
        <v>6685.4059999999999</v>
      </c>
      <c r="C10" s="21">
        <v>0</v>
      </c>
      <c r="D10" s="21">
        <v>3664.4650000000001</v>
      </c>
      <c r="E10" s="21">
        <v>12173.115</v>
      </c>
      <c r="F10" s="21">
        <v>43.371000000000002</v>
      </c>
      <c r="G10" s="21">
        <v>0</v>
      </c>
      <c r="H10" s="21">
        <v>13854.531000000001</v>
      </c>
      <c r="I10" s="21">
        <v>0</v>
      </c>
      <c r="J10" s="21">
        <v>19137.437999999998</v>
      </c>
      <c r="K10" s="21">
        <v>162246.274</v>
      </c>
      <c r="L10" s="195">
        <f t="shared" si="0"/>
        <v>217804.6</v>
      </c>
    </row>
    <row r="11" spans="1:12" ht="20.100000000000001" customHeight="1" x14ac:dyDescent="0.2">
      <c r="A11" s="18" t="s">
        <v>66</v>
      </c>
      <c r="B11" s="21">
        <v>0</v>
      </c>
      <c r="C11" s="21"/>
      <c r="D11" s="21"/>
      <c r="E11" s="21"/>
      <c r="F11" s="21"/>
      <c r="G11" s="21"/>
      <c r="H11" s="21"/>
      <c r="I11" s="21"/>
      <c r="J11" s="21"/>
      <c r="K11" s="21"/>
      <c r="L11" s="195">
        <f t="shared" si="0"/>
        <v>0</v>
      </c>
    </row>
    <row r="12" spans="1:12" ht="20.100000000000001" customHeight="1" x14ac:dyDescent="0.2">
      <c r="A12" s="20" t="s">
        <v>57</v>
      </c>
      <c r="B12" s="21">
        <v>1118191.7960000001</v>
      </c>
      <c r="C12" s="21">
        <v>177627.14628000002</v>
      </c>
      <c r="D12" s="21">
        <v>9483.3209999999999</v>
      </c>
      <c r="E12" s="21">
        <v>537721.47600000002</v>
      </c>
      <c r="F12" s="21">
        <v>5510.5540000000001</v>
      </c>
      <c r="G12" s="21">
        <v>393632.89299999998</v>
      </c>
      <c r="H12" s="21">
        <v>188106.921</v>
      </c>
      <c r="I12" s="21">
        <v>5684.6</v>
      </c>
      <c r="J12" s="21">
        <v>4004821.8686500001</v>
      </c>
      <c r="K12" s="21">
        <v>2746902.0189700006</v>
      </c>
      <c r="L12" s="195">
        <f t="shared" si="0"/>
        <v>9187682.5949000008</v>
      </c>
    </row>
    <row r="13" spans="1:12" ht="20.100000000000001" customHeight="1" x14ac:dyDescent="0.2">
      <c r="A13" s="20" t="s">
        <v>58</v>
      </c>
      <c r="B13" s="21">
        <v>-15889.995999999999</v>
      </c>
      <c r="C13" s="21">
        <v>0</v>
      </c>
      <c r="D13" s="21">
        <v>0</v>
      </c>
      <c r="E13" s="21">
        <v>40495.841999999997</v>
      </c>
      <c r="F13" s="21">
        <v>0</v>
      </c>
      <c r="G13" s="21">
        <v>0</v>
      </c>
      <c r="H13" s="21">
        <v>7380.8230000000003</v>
      </c>
      <c r="I13" s="21">
        <v>565</v>
      </c>
      <c r="J13" s="21">
        <v>30126.643789999998</v>
      </c>
      <c r="K13" s="21">
        <v>54368.217669999998</v>
      </c>
      <c r="L13" s="195">
        <f t="shared" si="0"/>
        <v>117046.53045999999</v>
      </c>
    </row>
    <row r="14" spans="1:12" ht="20.100000000000001" customHeight="1" x14ac:dyDescent="0.2">
      <c r="A14" s="20" t="s">
        <v>59</v>
      </c>
      <c r="B14" s="21">
        <f>(B12-B13)</f>
        <v>1134081.7920000001</v>
      </c>
      <c r="C14" s="21">
        <v>177627.14628000002</v>
      </c>
      <c r="D14" s="21">
        <v>9483.3209999999999</v>
      </c>
      <c r="E14" s="21">
        <v>497225.63400000002</v>
      </c>
      <c r="F14" s="21">
        <v>5510.5540000000001</v>
      </c>
      <c r="G14" s="21">
        <v>393632.89299999998</v>
      </c>
      <c r="H14" s="21">
        <v>180726.098</v>
      </c>
      <c r="I14" s="21">
        <v>5119.6000000000004</v>
      </c>
      <c r="J14" s="21">
        <v>3974695.2248599995</v>
      </c>
      <c r="K14" s="21">
        <v>2692533.8013000009</v>
      </c>
      <c r="L14" s="195">
        <f t="shared" si="0"/>
        <v>9070636.0644400008</v>
      </c>
    </row>
    <row r="15" spans="1:12" ht="20.100000000000001" customHeight="1" x14ac:dyDescent="0.2">
      <c r="A15" s="18" t="s">
        <v>67</v>
      </c>
      <c r="B15" s="21">
        <v>0</v>
      </c>
      <c r="C15" s="21"/>
      <c r="D15" s="21"/>
      <c r="E15" s="21"/>
      <c r="F15" s="21"/>
      <c r="G15" s="21"/>
      <c r="H15" s="21"/>
      <c r="I15" s="21"/>
      <c r="J15" s="21"/>
      <c r="K15" s="21"/>
      <c r="L15" s="195">
        <f t="shared" si="0"/>
        <v>0</v>
      </c>
    </row>
    <row r="16" spans="1:12" ht="20.100000000000001" customHeight="1" x14ac:dyDescent="0.2">
      <c r="A16" s="20" t="s">
        <v>60</v>
      </c>
      <c r="B16" s="21">
        <v>20065.868999999999</v>
      </c>
      <c r="C16" s="21">
        <v>0</v>
      </c>
      <c r="D16" s="21">
        <v>13.811999999999999</v>
      </c>
      <c r="E16" s="21">
        <v>23476.611000000001</v>
      </c>
      <c r="F16" s="21">
        <v>11.034000000000001</v>
      </c>
      <c r="G16" s="21">
        <v>0</v>
      </c>
      <c r="H16" s="21">
        <v>8157.3450000000003</v>
      </c>
      <c r="I16" s="21">
        <v>0</v>
      </c>
      <c r="J16" s="21">
        <v>27535.441999999999</v>
      </c>
      <c r="K16" s="21">
        <v>57782.41431</v>
      </c>
      <c r="L16" s="195">
        <f t="shared" si="0"/>
        <v>137042.52731</v>
      </c>
    </row>
    <row r="17" spans="1:12" ht="20.100000000000001" customHeight="1" x14ac:dyDescent="0.2">
      <c r="A17" s="20" t="s">
        <v>61</v>
      </c>
      <c r="B17" s="21">
        <v>0</v>
      </c>
      <c r="C17" s="21">
        <v>16886.632539999999</v>
      </c>
      <c r="D17" s="21">
        <v>27.704999999999998</v>
      </c>
      <c r="E17" s="21">
        <v>41760.256000000001</v>
      </c>
      <c r="F17" s="21">
        <v>0</v>
      </c>
      <c r="G17" s="21">
        <v>20075.52</v>
      </c>
      <c r="H17" s="21">
        <v>22606.387999999999</v>
      </c>
      <c r="I17" s="21">
        <v>0</v>
      </c>
      <c r="J17" s="21">
        <v>75770.281000000003</v>
      </c>
      <c r="K17" s="21">
        <v>166865.84698999996</v>
      </c>
      <c r="L17" s="195">
        <f t="shared" si="0"/>
        <v>343992.62952999992</v>
      </c>
    </row>
    <row r="18" spans="1:12" ht="20.100000000000001" customHeight="1" x14ac:dyDescent="0.2">
      <c r="A18" s="20" t="s">
        <v>59</v>
      </c>
      <c r="B18" s="21">
        <v>20065.868999999999</v>
      </c>
      <c r="C18" s="21">
        <v>-16886.632539999999</v>
      </c>
      <c r="D18" s="21">
        <v>-13.893000000000001</v>
      </c>
      <c r="E18" s="21">
        <v>-18283.645</v>
      </c>
      <c r="F18" s="21">
        <v>11.034000000000001</v>
      </c>
      <c r="G18" s="21">
        <v>-20075.52</v>
      </c>
      <c r="H18" s="21">
        <v>-14449.043</v>
      </c>
      <c r="I18" s="21">
        <v>0</v>
      </c>
      <c r="J18" s="21">
        <v>-48234.839</v>
      </c>
      <c r="K18" s="21">
        <v>-109083.43268</v>
      </c>
      <c r="L18" s="195">
        <f t="shared" si="0"/>
        <v>-206950.10222</v>
      </c>
    </row>
    <row r="19" spans="1:12" ht="20.100000000000001" customHeight="1" x14ac:dyDescent="0.2">
      <c r="A19" s="20" t="s">
        <v>27</v>
      </c>
      <c r="B19" s="21">
        <v>310193.41499999998</v>
      </c>
      <c r="C19" s="21">
        <v>58429.182000000001</v>
      </c>
      <c r="D19" s="21">
        <v>679.33600000000001</v>
      </c>
      <c r="E19" s="21">
        <v>114603.098</v>
      </c>
      <c r="F19" s="21">
        <v>629.76700000000005</v>
      </c>
      <c r="G19" s="21">
        <v>40290.771000000001</v>
      </c>
      <c r="H19" s="21">
        <v>54996.208089999993</v>
      </c>
      <c r="I19" s="21">
        <v>1664.8806099999999</v>
      </c>
      <c r="J19" s="21">
        <v>436025.25900000002</v>
      </c>
      <c r="K19" s="21">
        <v>545882.8526900002</v>
      </c>
      <c r="L19" s="195">
        <f t="shared" si="0"/>
        <v>1563394.76939</v>
      </c>
    </row>
    <row r="20" spans="1:12" ht="20.100000000000001" customHeight="1" x14ac:dyDescent="0.2">
      <c r="A20" s="20" t="s">
        <v>28</v>
      </c>
      <c r="B20" s="21">
        <v>0</v>
      </c>
      <c r="C20" s="21">
        <v>0</v>
      </c>
      <c r="D20" s="21">
        <v>191.47200000000001</v>
      </c>
      <c r="E20" s="21">
        <v>0</v>
      </c>
      <c r="F20" s="21">
        <v>174.036</v>
      </c>
      <c r="G20" s="21">
        <v>36233.718000000001</v>
      </c>
      <c r="H20" s="21">
        <v>0</v>
      </c>
      <c r="I20" s="21">
        <v>-22.5</v>
      </c>
      <c r="J20" s="21">
        <v>12848.601000000001</v>
      </c>
      <c r="K20" s="21">
        <v>0</v>
      </c>
      <c r="L20" s="195">
        <f t="shared" si="0"/>
        <v>49425.327000000005</v>
      </c>
    </row>
    <row r="21" spans="1:12" ht="20.100000000000001" customHeight="1" x14ac:dyDescent="0.2">
      <c r="A21" s="22" t="s">
        <v>29</v>
      </c>
      <c r="B21" s="21">
        <v>7232344.6220000004</v>
      </c>
      <c r="C21" s="21">
        <v>1112528.0759999999</v>
      </c>
      <c r="D21" s="21">
        <v>48571.519</v>
      </c>
      <c r="E21" s="21">
        <v>6293975.4720000001</v>
      </c>
      <c r="F21" s="21">
        <v>56777.642999999996</v>
      </c>
      <c r="G21" s="21">
        <v>3225311.1970000002</v>
      </c>
      <c r="H21" s="21">
        <v>634336.924</v>
      </c>
      <c r="I21" s="21">
        <v>32156.922899999998</v>
      </c>
      <c r="J21" s="21">
        <v>35147768.674999997</v>
      </c>
      <c r="K21" s="23">
        <v>31850001.274999999</v>
      </c>
      <c r="L21" s="195">
        <f t="shared" si="0"/>
        <v>85633772.325899988</v>
      </c>
    </row>
    <row r="22" spans="1:12" ht="20.100000000000001" customHeight="1" x14ac:dyDescent="0.2">
      <c r="A22" s="24" t="s">
        <v>63</v>
      </c>
      <c r="B22" s="15">
        <v>7157793.2439999999</v>
      </c>
      <c r="C22" s="15">
        <v>818301.80280569999</v>
      </c>
      <c r="D22" s="15">
        <v>46261.2</v>
      </c>
      <c r="E22" s="15">
        <v>6715362.9819999998</v>
      </c>
      <c r="F22" s="15">
        <v>55875.12</v>
      </c>
      <c r="G22" s="15">
        <v>3379933.2348200004</v>
      </c>
      <c r="H22" s="15">
        <v>453716.29028700001</v>
      </c>
      <c r="I22" s="15">
        <v>35275.491269999999</v>
      </c>
      <c r="J22" s="15">
        <v>35115230.436140001</v>
      </c>
      <c r="K22" s="15">
        <v>34206383.87072999</v>
      </c>
      <c r="L22" s="195">
        <f t="shared" si="0"/>
        <v>87984133.672052681</v>
      </c>
    </row>
    <row r="23" spans="1:12" x14ac:dyDescent="0.2">
      <c r="A23" s="16"/>
      <c r="B23" s="16"/>
    </row>
    <row r="24" spans="1:12" x14ac:dyDescent="0.2">
      <c r="A24" s="17"/>
      <c r="B24" s="17"/>
      <c r="C24" s="16"/>
      <c r="D24" s="16"/>
      <c r="E24" s="16"/>
      <c r="F24" s="16"/>
      <c r="G24" s="16"/>
      <c r="H24" s="16"/>
      <c r="I24" s="16"/>
      <c r="J24" s="16"/>
      <c r="K24" s="16"/>
      <c r="L24" s="16"/>
    </row>
    <row r="25" spans="1:12" x14ac:dyDescent="0.2">
      <c r="A25" s="17" t="s">
        <v>62</v>
      </c>
      <c r="B25" s="17"/>
      <c r="C25" s="16"/>
      <c r="D25" s="16"/>
      <c r="E25" s="16"/>
      <c r="F25" s="16"/>
      <c r="G25" s="16"/>
      <c r="H25" s="16"/>
      <c r="I25" s="16"/>
      <c r="J25" s="16"/>
      <c r="K25" s="16"/>
      <c r="L25" s="16"/>
    </row>
    <row r="26" spans="1:12" x14ac:dyDescent="0.2">
      <c r="A26" s="25" t="s">
        <v>76</v>
      </c>
      <c r="B26" s="25"/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7" spans="1:12" x14ac:dyDescent="0.2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</sheetData>
  <mergeCells count="3">
    <mergeCell ref="A1:L1"/>
    <mergeCell ref="A2:L2"/>
    <mergeCell ref="A3:L3"/>
  </mergeCells>
  <pageMargins left="0.7" right="0.7" top="0.75" bottom="0.75" header="0.3" footer="0.3"/>
  <pageSetup scale="67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E10" sqref="E10"/>
    </sheetView>
  </sheetViews>
  <sheetFormatPr defaultRowHeight="12.75" x14ac:dyDescent="0.2"/>
  <cols>
    <col min="1" max="1" width="41.28515625" style="11" bestFit="1" customWidth="1"/>
    <col min="2" max="12" width="15.7109375" style="11" customWidth="1"/>
  </cols>
  <sheetData>
    <row r="1" spans="1:12" s="28" customFormat="1" ht="20.100000000000001" customHeight="1" x14ac:dyDescent="0.25">
      <c r="A1" s="200" t="s">
        <v>0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</row>
    <row r="2" spans="1:12" s="28" customFormat="1" ht="20.100000000000001" customHeight="1" x14ac:dyDescent="0.25">
      <c r="A2" s="200" t="s">
        <v>73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</row>
    <row r="3" spans="1:12" ht="21" customHeight="1" x14ac:dyDescent="0.2">
      <c r="C3" s="26"/>
      <c r="D3" s="26"/>
      <c r="E3" s="26"/>
      <c r="F3" s="26"/>
      <c r="G3" s="26"/>
      <c r="H3" s="26"/>
      <c r="I3" s="26"/>
      <c r="J3" s="26"/>
      <c r="K3" s="26"/>
      <c r="L3" s="26" t="s">
        <v>71</v>
      </c>
    </row>
    <row r="4" spans="1:12" ht="30" customHeight="1" x14ac:dyDescent="0.2">
      <c r="A4" s="12"/>
      <c r="B4" s="12" t="s">
        <v>33</v>
      </c>
      <c r="C4" s="12" t="s">
        <v>34</v>
      </c>
      <c r="D4" s="12" t="s">
        <v>68</v>
      </c>
      <c r="E4" s="12" t="s">
        <v>50</v>
      </c>
      <c r="F4" s="12" t="s">
        <v>51</v>
      </c>
      <c r="G4" s="12" t="s">
        <v>69</v>
      </c>
      <c r="H4" s="12" t="s">
        <v>10</v>
      </c>
      <c r="I4" s="12" t="s">
        <v>53</v>
      </c>
      <c r="J4" s="12" t="s">
        <v>70</v>
      </c>
      <c r="K4" s="12" t="s">
        <v>55</v>
      </c>
      <c r="L4" s="13" t="s">
        <v>15</v>
      </c>
    </row>
    <row r="5" spans="1:12" ht="21" customHeight="1" x14ac:dyDescent="0.2">
      <c r="A5" s="18" t="s">
        <v>56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4"/>
    </row>
    <row r="6" spans="1:12" ht="21" customHeight="1" x14ac:dyDescent="0.2">
      <c r="A6" s="20" t="s">
        <v>57</v>
      </c>
      <c r="B6" s="21">
        <v>3388286.577</v>
      </c>
      <c r="C6" s="21"/>
      <c r="D6" s="21">
        <v>3206</v>
      </c>
      <c r="E6" s="21">
        <v>223201</v>
      </c>
      <c r="F6" s="21">
        <v>683893</v>
      </c>
      <c r="G6" s="21">
        <v>4287</v>
      </c>
      <c r="H6" s="21">
        <v>347881</v>
      </c>
      <c r="I6" s="21">
        <v>179650.16800000001</v>
      </c>
      <c r="J6" s="21">
        <v>10724</v>
      </c>
      <c r="K6" s="21">
        <v>4467681.023</v>
      </c>
      <c r="L6" s="14">
        <f>SUM(B6:K6)</f>
        <v>9308809.7679999992</v>
      </c>
    </row>
    <row r="7" spans="1:12" ht="21" customHeight="1" x14ac:dyDescent="0.2">
      <c r="A7" s="20" t="s">
        <v>58</v>
      </c>
      <c r="B7" s="21">
        <v>162190.14300000001</v>
      </c>
      <c r="C7" s="21"/>
      <c r="D7" s="21">
        <v>136</v>
      </c>
      <c r="E7" s="21">
        <v>11979</v>
      </c>
      <c r="F7" s="21">
        <v>61510</v>
      </c>
      <c r="G7" s="21">
        <v>509</v>
      </c>
      <c r="H7" s="21">
        <v>0</v>
      </c>
      <c r="I7" s="21">
        <v>18195.874</v>
      </c>
      <c r="J7" s="21">
        <v>-691</v>
      </c>
      <c r="K7" s="21">
        <v>113467.353</v>
      </c>
      <c r="L7" s="14">
        <f>SUM(B7:K7)</f>
        <v>367296.37</v>
      </c>
    </row>
    <row r="8" spans="1:12" ht="21" customHeight="1" x14ac:dyDescent="0.2">
      <c r="A8" s="20" t="s">
        <v>59</v>
      </c>
      <c r="B8" s="21">
        <v>3226096.4339999999</v>
      </c>
      <c r="C8" s="21"/>
      <c r="D8" s="21">
        <v>3070</v>
      </c>
      <c r="E8" s="21">
        <v>211222</v>
      </c>
      <c r="F8" s="21">
        <v>622383</v>
      </c>
      <c r="G8" s="21">
        <v>3778</v>
      </c>
      <c r="H8" s="21">
        <v>347881</v>
      </c>
      <c r="I8" s="21">
        <f>0+(I6-I7)</f>
        <v>161454.29399999999</v>
      </c>
      <c r="J8" s="21">
        <v>10033</v>
      </c>
      <c r="K8" s="21">
        <v>4354213.67</v>
      </c>
      <c r="L8" s="14">
        <f>SUM(B8:K8)</f>
        <v>8940131.398</v>
      </c>
    </row>
    <row r="9" spans="1:12" ht="21" customHeight="1" x14ac:dyDescent="0.2">
      <c r="A9" s="20" t="s">
        <v>20</v>
      </c>
      <c r="B9" s="21">
        <v>1392767.773</v>
      </c>
      <c r="C9" s="21"/>
      <c r="D9" s="21">
        <v>2107</v>
      </c>
      <c r="E9" s="21">
        <v>40318</v>
      </c>
      <c r="F9" s="21">
        <v>177414</v>
      </c>
      <c r="G9" s="21">
        <v>2144</v>
      </c>
      <c r="H9" s="21">
        <v>264323</v>
      </c>
      <c r="I9" s="21">
        <v>28265.63</v>
      </c>
      <c r="J9" s="21">
        <v>1771</v>
      </c>
      <c r="K9" s="21">
        <v>1698222.7779999999</v>
      </c>
      <c r="L9" s="14">
        <f t="shared" ref="L9:L16" si="0">SUM(B9:K9)</f>
        <v>3607333.1809999999</v>
      </c>
    </row>
    <row r="10" spans="1:12" ht="21" customHeight="1" x14ac:dyDescent="0.2">
      <c r="A10" s="20" t="s">
        <v>65</v>
      </c>
      <c r="B10" s="21">
        <f>0+(19350.076+398605.546+157815.12+57029.444)</f>
        <v>632800.18599999999</v>
      </c>
      <c r="C10" s="21"/>
      <c r="D10" s="21">
        <v>791</v>
      </c>
      <c r="E10" s="21">
        <v>0</v>
      </c>
      <c r="F10" s="21">
        <v>780</v>
      </c>
      <c r="G10" s="21">
        <v>24</v>
      </c>
      <c r="H10" s="21">
        <v>0</v>
      </c>
      <c r="I10" s="21">
        <v>39733.923999999999</v>
      </c>
      <c r="J10" s="21">
        <v>18</v>
      </c>
      <c r="K10" s="21">
        <v>430344.38899999997</v>
      </c>
      <c r="L10" s="14">
        <f t="shared" si="0"/>
        <v>1104491.4989999998</v>
      </c>
    </row>
    <row r="11" spans="1:12" ht="21" customHeight="1" x14ac:dyDescent="0.2">
      <c r="A11" s="18" t="s">
        <v>66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14">
        <f t="shared" si="0"/>
        <v>0</v>
      </c>
    </row>
    <row r="12" spans="1:12" ht="21" customHeight="1" x14ac:dyDescent="0.2">
      <c r="A12" s="20" t="s">
        <v>57</v>
      </c>
      <c r="B12" s="21">
        <v>2549801.074</v>
      </c>
      <c r="C12" s="21"/>
      <c r="D12" s="21">
        <v>9515</v>
      </c>
      <c r="E12" s="21">
        <v>165280</v>
      </c>
      <c r="F12" s="21">
        <v>497961</v>
      </c>
      <c r="G12" s="21">
        <v>8061</v>
      </c>
      <c r="H12" s="21">
        <v>415260</v>
      </c>
      <c r="I12" s="21">
        <v>108381.553</v>
      </c>
      <c r="J12" s="21">
        <v>11074</v>
      </c>
      <c r="K12" s="21">
        <v>3628810.9190000002</v>
      </c>
      <c r="L12" s="14">
        <f t="shared" si="0"/>
        <v>7394144.5460000001</v>
      </c>
    </row>
    <row r="13" spans="1:12" ht="21" customHeight="1" x14ac:dyDescent="0.2">
      <c r="A13" s="20" t="s">
        <v>58</v>
      </c>
      <c r="B13" s="21">
        <v>54368.218000000001</v>
      </c>
      <c r="C13" s="21"/>
      <c r="D13" s="21"/>
      <c r="E13" s="21"/>
      <c r="F13" s="21">
        <v>12248</v>
      </c>
      <c r="G13" s="21">
        <v>4</v>
      </c>
      <c r="H13" s="21">
        <v>0</v>
      </c>
      <c r="I13" s="21">
        <v>4016.3580000000002</v>
      </c>
      <c r="J13" s="21"/>
      <c r="K13" s="21">
        <v>46158.053999999996</v>
      </c>
      <c r="L13" s="14">
        <f t="shared" si="0"/>
        <v>116794.63</v>
      </c>
    </row>
    <row r="14" spans="1:12" ht="21" customHeight="1" x14ac:dyDescent="0.2">
      <c r="A14" s="20" t="s">
        <v>59</v>
      </c>
      <c r="B14" s="21">
        <v>2495432.8560000001</v>
      </c>
      <c r="C14" s="21"/>
      <c r="D14" s="21">
        <v>9515</v>
      </c>
      <c r="E14" s="21">
        <v>65280</v>
      </c>
      <c r="F14" s="21">
        <v>485714</v>
      </c>
      <c r="G14" s="21">
        <v>8182</v>
      </c>
      <c r="H14" s="21">
        <v>415260</v>
      </c>
      <c r="I14" s="21">
        <f>0+(I12-I13)</f>
        <v>104365.19500000001</v>
      </c>
      <c r="J14" s="21">
        <v>10974</v>
      </c>
      <c r="K14" s="21">
        <v>3582652.8650000002</v>
      </c>
      <c r="L14" s="14">
        <f t="shared" si="0"/>
        <v>7177375.9160000002</v>
      </c>
    </row>
    <row r="15" spans="1:12" ht="21" customHeight="1" x14ac:dyDescent="0.2">
      <c r="A15" s="18" t="s">
        <v>67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14">
        <f t="shared" si="0"/>
        <v>0</v>
      </c>
    </row>
    <row r="16" spans="1:12" ht="21" customHeight="1" x14ac:dyDescent="0.2">
      <c r="A16" s="20" t="s">
        <v>60</v>
      </c>
      <c r="B16" s="21">
        <v>89530.687999999995</v>
      </c>
      <c r="C16" s="21"/>
      <c r="D16" s="21">
        <v>13</v>
      </c>
      <c r="E16" s="21">
        <v>14745</v>
      </c>
      <c r="F16" s="21">
        <v>19318</v>
      </c>
      <c r="G16" s="21">
        <v>16</v>
      </c>
      <c r="H16" s="21"/>
      <c r="I16" s="21">
        <v>11729.53</v>
      </c>
      <c r="J16" s="21">
        <v>0</v>
      </c>
      <c r="K16" s="21">
        <v>18547.772000000001</v>
      </c>
      <c r="L16" s="14">
        <f t="shared" si="0"/>
        <v>153899.99</v>
      </c>
    </row>
    <row r="17" spans="1:12" ht="21" customHeight="1" x14ac:dyDescent="0.2">
      <c r="A17" s="20" t="s">
        <v>61</v>
      </c>
      <c r="B17" s="21">
        <v>173988.62700000001</v>
      </c>
      <c r="C17" s="21"/>
      <c r="D17" s="21">
        <v>31</v>
      </c>
      <c r="E17" s="21"/>
      <c r="F17" s="21">
        <v>27801</v>
      </c>
      <c r="G17" s="21"/>
      <c r="H17" s="21"/>
      <c r="I17" s="21">
        <v>18851.809000000001</v>
      </c>
      <c r="J17" s="21">
        <v>0</v>
      </c>
      <c r="K17" s="21">
        <v>78224.188999999998</v>
      </c>
      <c r="L17" s="14">
        <f>SUM(B17:K17)</f>
        <v>298896.625</v>
      </c>
    </row>
    <row r="18" spans="1:12" ht="21" customHeight="1" x14ac:dyDescent="0.2">
      <c r="A18" s="20" t="s">
        <v>59</v>
      </c>
      <c r="B18" s="21">
        <f t="shared" ref="B18:G18" si="1">((0+(B16-B17))+(B16-B17))+(B16-B17)</f>
        <v>-253373.81700000004</v>
      </c>
      <c r="C18" s="21">
        <f t="shared" si="1"/>
        <v>0</v>
      </c>
      <c r="D18" s="21">
        <f t="shared" si="1"/>
        <v>-54</v>
      </c>
      <c r="E18" s="21">
        <v>14745</v>
      </c>
      <c r="F18" s="21">
        <f t="shared" si="1"/>
        <v>-25449</v>
      </c>
      <c r="G18" s="21">
        <f t="shared" si="1"/>
        <v>48</v>
      </c>
      <c r="H18" s="21">
        <f>((15158+(H16-H17))+(H16-H17))+(H16-H17)</f>
        <v>15158</v>
      </c>
      <c r="I18" s="21">
        <f>((0+(I16-I17))+(I16-I17))+(I16-I17)</f>
        <v>-21366.837</v>
      </c>
      <c r="J18" s="21">
        <v>0</v>
      </c>
      <c r="K18" s="21">
        <v>-59676.417000000001</v>
      </c>
      <c r="L18" s="14">
        <f>L16-L17</f>
        <v>-144996.63500000001</v>
      </c>
    </row>
    <row r="19" spans="1:12" ht="21" customHeight="1" x14ac:dyDescent="0.2">
      <c r="A19" s="20" t="s">
        <v>27</v>
      </c>
      <c r="B19" s="21">
        <v>512681.9</v>
      </c>
      <c r="C19" s="21"/>
      <c r="D19" s="21">
        <v>654</v>
      </c>
      <c r="E19" s="21">
        <v>6812</v>
      </c>
      <c r="F19" s="21">
        <v>113105</v>
      </c>
      <c r="G19" s="21">
        <v>812</v>
      </c>
      <c r="H19" s="21">
        <v>37716</v>
      </c>
      <c r="I19" s="21">
        <f>0+(63600.49+42831.676)</f>
        <v>106432.166</v>
      </c>
      <c r="J19" s="21">
        <v>2941</v>
      </c>
      <c r="K19" s="21">
        <v>449913.26400000002</v>
      </c>
      <c r="L19" s="14">
        <f>SUM(B19:K19)</f>
        <v>1231067.33</v>
      </c>
    </row>
    <row r="20" spans="1:12" ht="21" customHeight="1" x14ac:dyDescent="0.2">
      <c r="A20" s="20" t="s">
        <v>28</v>
      </c>
      <c r="B20" s="21">
        <v>-2624.136</v>
      </c>
      <c r="C20" s="21"/>
      <c r="D20" s="21">
        <v>172</v>
      </c>
      <c r="E20" s="21"/>
      <c r="F20" s="21">
        <v>0</v>
      </c>
      <c r="G20" s="21">
        <v>225</v>
      </c>
      <c r="H20" s="21">
        <v>31703</v>
      </c>
      <c r="I20" s="21">
        <v>0</v>
      </c>
      <c r="J20" s="21">
        <v>0</v>
      </c>
      <c r="K20" s="21">
        <v>20760.683000000001</v>
      </c>
      <c r="L20" s="14">
        <f>SUM(B20:K20)</f>
        <v>50236.547000000006</v>
      </c>
    </row>
    <row r="21" spans="1:12" ht="21" customHeight="1" x14ac:dyDescent="0.2">
      <c r="A21" s="22" t="s">
        <v>29</v>
      </c>
      <c r="B21" s="21">
        <v>30727027.949999999</v>
      </c>
      <c r="C21" s="21"/>
      <c r="D21" s="21">
        <v>52969</v>
      </c>
      <c r="E21" s="21">
        <v>1112857</v>
      </c>
      <c r="F21" s="21">
        <v>6151440</v>
      </c>
      <c r="G21" s="21">
        <v>59714</v>
      </c>
      <c r="H21" s="21">
        <v>3118537</v>
      </c>
      <c r="I21" s="21">
        <v>625225.37100000004</v>
      </c>
      <c r="J21" s="21">
        <v>33718</v>
      </c>
      <c r="K21" s="21">
        <v>32797494.609999999</v>
      </c>
      <c r="L21" s="27">
        <f>SUM(B21:K21)</f>
        <v>74678982.930999994</v>
      </c>
    </row>
    <row r="22" spans="1:12" ht="21" customHeight="1" x14ac:dyDescent="0.2">
      <c r="A22" s="24" t="s">
        <v>63</v>
      </c>
      <c r="B22" s="15">
        <v>31850001.274999999</v>
      </c>
      <c r="C22" s="15"/>
      <c r="D22" s="15">
        <v>48572</v>
      </c>
      <c r="E22" s="15">
        <v>1112528</v>
      </c>
      <c r="F22" s="15">
        <v>6293975</v>
      </c>
      <c r="G22" s="15">
        <v>56778</v>
      </c>
      <c r="H22" s="15">
        <v>3225311</v>
      </c>
      <c r="I22" s="15">
        <v>634336.924</v>
      </c>
      <c r="J22" s="15">
        <v>32156</v>
      </c>
      <c r="K22" s="15">
        <v>35147768.674999997</v>
      </c>
      <c r="L22" s="15">
        <f>SUM(B22:K22)</f>
        <v>78401426.873999998</v>
      </c>
    </row>
    <row r="23" spans="1:12" x14ac:dyDescent="0.2">
      <c r="A23" s="16"/>
    </row>
    <row r="24" spans="1:12" x14ac:dyDescent="0.2">
      <c r="A24" s="17" t="s">
        <v>62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</row>
    <row r="25" spans="1:12" x14ac:dyDescent="0.2">
      <c r="A25" s="17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</row>
    <row r="26" spans="1:12" x14ac:dyDescent="0.2">
      <c r="A26" s="25" t="s">
        <v>76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7" spans="1:12" x14ac:dyDescent="0.2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  <row r="28" spans="1:12" x14ac:dyDescent="0.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</row>
  </sheetData>
  <mergeCells count="2">
    <mergeCell ref="A1:L1"/>
    <mergeCell ref="A2:L2"/>
  </mergeCells>
  <pageMargins left="0.7" right="0.7" top="0.75" bottom="0.75" header="0.3" footer="0.3"/>
  <pageSetup scale="6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zoomScaleNormal="100" workbookViewId="0">
      <pane xSplit="1" ySplit="2" topLeftCell="B18" activePane="bottomRight" state="frozen"/>
      <selection pane="topRight" activeCell="B1" sqref="B1"/>
      <selection pane="bottomLeft" activeCell="A3" sqref="A3"/>
      <selection pane="bottomRight" activeCell="A30" sqref="A30"/>
    </sheetView>
  </sheetViews>
  <sheetFormatPr defaultRowHeight="12.75" x14ac:dyDescent="0.2"/>
  <cols>
    <col min="1" max="1" width="28.42578125" style="11" customWidth="1"/>
    <col min="2" max="3" width="12.7109375" style="11" bestFit="1" customWidth="1"/>
    <col min="4" max="4" width="9.28515625" style="11" bestFit="1" customWidth="1"/>
    <col min="5" max="6" width="11.5703125" style="11" bestFit="1" customWidth="1"/>
    <col min="7" max="7" width="9.28515625" style="11" bestFit="1" customWidth="1"/>
    <col min="8" max="8" width="11.5703125" style="11" bestFit="1" customWidth="1"/>
    <col min="9" max="9" width="9.85546875" style="11" bestFit="1" customWidth="1"/>
    <col min="10" max="10" width="9.28515625" style="11" bestFit="1" customWidth="1"/>
    <col min="11" max="11" width="12.7109375" style="11" bestFit="1" customWidth="1"/>
    <col min="12" max="12" width="18.140625" style="11" customWidth="1"/>
  </cols>
  <sheetData>
    <row r="1" spans="1:12" s="28" customFormat="1" ht="20.100000000000001" customHeight="1" x14ac:dyDescent="0.25">
      <c r="A1" s="200" t="s">
        <v>0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</row>
    <row r="2" spans="1:12" s="28" customFormat="1" ht="20.100000000000001" customHeight="1" x14ac:dyDescent="0.25">
      <c r="A2" s="200" t="s">
        <v>64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</row>
    <row r="3" spans="1:12" ht="18" customHeight="1" x14ac:dyDescent="0.2">
      <c r="C3" s="26"/>
      <c r="D3" s="26"/>
      <c r="E3" s="26"/>
      <c r="F3" s="26"/>
      <c r="G3" s="26"/>
      <c r="H3" s="26"/>
      <c r="I3" s="26"/>
      <c r="J3" s="26"/>
      <c r="K3" s="26"/>
      <c r="L3" s="26" t="s">
        <v>71</v>
      </c>
    </row>
    <row r="4" spans="1:12" ht="30" customHeight="1" x14ac:dyDescent="0.2">
      <c r="A4" s="12"/>
      <c r="B4" s="12" t="s">
        <v>33</v>
      </c>
      <c r="C4" s="12" t="s">
        <v>34</v>
      </c>
      <c r="D4" s="12" t="s">
        <v>68</v>
      </c>
      <c r="E4" s="12" t="s">
        <v>50</v>
      </c>
      <c r="F4" s="12" t="s">
        <v>51</v>
      </c>
      <c r="G4" s="12" t="s">
        <v>69</v>
      </c>
      <c r="H4" s="12" t="s">
        <v>10</v>
      </c>
      <c r="I4" s="12" t="s">
        <v>53</v>
      </c>
      <c r="J4" s="12" t="s">
        <v>70</v>
      </c>
      <c r="K4" s="12" t="s">
        <v>55</v>
      </c>
      <c r="L4" s="13" t="s">
        <v>15</v>
      </c>
    </row>
    <row r="5" spans="1:12" ht="21" customHeight="1" x14ac:dyDescent="0.2">
      <c r="A5" s="18" t="s">
        <v>56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</row>
    <row r="6" spans="1:12" ht="21" customHeight="1" x14ac:dyDescent="0.2">
      <c r="A6" s="20" t="s">
        <v>57</v>
      </c>
      <c r="B6" s="14">
        <v>3061405.0959999999</v>
      </c>
      <c r="C6" s="14">
        <v>8162325.4589999998</v>
      </c>
      <c r="D6" s="14">
        <v>3934.7170000000001</v>
      </c>
      <c r="E6" s="14">
        <v>189398.23300000001</v>
      </c>
      <c r="F6" s="14">
        <v>658362.53300000005</v>
      </c>
      <c r="G6" s="14">
        <v>4388.9520000000002</v>
      </c>
      <c r="H6" s="14">
        <v>336558.14299999998</v>
      </c>
      <c r="I6" s="14">
        <v>156327.56200000001</v>
      </c>
      <c r="J6" s="14">
        <v>12042.569</v>
      </c>
      <c r="K6" s="14">
        <v>3714959.6949999998</v>
      </c>
      <c r="L6" s="14">
        <f>SUM(B6:K6)</f>
        <v>16299702.958999999</v>
      </c>
    </row>
    <row r="7" spans="1:12" ht="21" customHeight="1" x14ac:dyDescent="0.2">
      <c r="A7" s="20" t="s">
        <v>58</v>
      </c>
      <c r="B7" s="14">
        <v>154684.622</v>
      </c>
      <c r="C7" s="14">
        <v>35219.485000000001</v>
      </c>
      <c r="D7" s="14">
        <v>148.16</v>
      </c>
      <c r="E7" s="14">
        <v>4787.22</v>
      </c>
      <c r="F7" s="14">
        <v>54873.211000000003</v>
      </c>
      <c r="G7" s="14">
        <v>525.54</v>
      </c>
      <c r="H7" s="14">
        <v>0</v>
      </c>
      <c r="I7" s="14">
        <v>55829.974000000002</v>
      </c>
      <c r="J7" s="14">
        <v>776.12900000000002</v>
      </c>
      <c r="K7" s="14">
        <v>99012.5</v>
      </c>
      <c r="L7" s="14">
        <f>SUM(B7:K7)</f>
        <v>405856.84100000007</v>
      </c>
    </row>
    <row r="8" spans="1:12" ht="21" customHeight="1" x14ac:dyDescent="0.2">
      <c r="A8" s="20" t="s">
        <v>59</v>
      </c>
      <c r="B8" s="14">
        <v>2906720.4739999999</v>
      </c>
      <c r="C8" s="14">
        <v>8127105.9740000004</v>
      </c>
      <c r="D8" s="14">
        <v>3786.5569999999998</v>
      </c>
      <c r="E8" s="14">
        <v>184611.01300000001</v>
      </c>
      <c r="F8" s="14">
        <v>603489.32200000004</v>
      </c>
      <c r="G8" s="14">
        <v>3863.4119999999998</v>
      </c>
      <c r="H8" s="14">
        <v>336558.14299999998</v>
      </c>
      <c r="I8" s="14">
        <v>100497.588</v>
      </c>
      <c r="J8" s="14">
        <v>11266.44</v>
      </c>
      <c r="K8" s="14">
        <v>3615947.1949999998</v>
      </c>
      <c r="L8" s="14">
        <f>SUM(B8:K8)</f>
        <v>15893846.118000001</v>
      </c>
    </row>
    <row r="9" spans="1:12" ht="21" customHeight="1" x14ac:dyDescent="0.2">
      <c r="A9" s="20" t="s">
        <v>20</v>
      </c>
      <c r="B9" s="14">
        <v>2344484.3369999998</v>
      </c>
      <c r="C9" s="14">
        <v>2164327.1680000001</v>
      </c>
      <c r="D9" s="14">
        <v>2508.2280000000001</v>
      </c>
      <c r="E9" s="14">
        <v>69554.13</v>
      </c>
      <c r="F9" s="14">
        <v>340732.65299999999</v>
      </c>
      <c r="G9" s="14">
        <v>3183.5419999999999</v>
      </c>
      <c r="H9" s="14">
        <v>256864.073</v>
      </c>
      <c r="I9" s="14">
        <v>45805.404999999999</v>
      </c>
      <c r="J9" s="14">
        <v>1611.383</v>
      </c>
      <c r="K9" s="14">
        <v>1974363.581</v>
      </c>
      <c r="L9" s="14">
        <f t="shared" ref="L9:L16" si="0">SUM(B9:K9)</f>
        <v>7203434.5000000009</v>
      </c>
    </row>
    <row r="10" spans="1:12" ht="21" customHeight="1" x14ac:dyDescent="0.2">
      <c r="A10" s="20" t="s">
        <v>65</v>
      </c>
      <c r="B10" s="14">
        <v>34885.006999999998</v>
      </c>
      <c r="C10" s="14">
        <v>5719.424</v>
      </c>
      <c r="D10" s="14">
        <v>737.077</v>
      </c>
      <c r="E10" s="14">
        <v>0</v>
      </c>
      <c r="F10" s="14">
        <v>2924.7020000000002</v>
      </c>
      <c r="G10" s="14">
        <v>28.411999999999999</v>
      </c>
      <c r="H10" s="14">
        <v>0</v>
      </c>
      <c r="I10" s="14">
        <v>25454.327000000001</v>
      </c>
      <c r="J10" s="14">
        <v>39.747</v>
      </c>
      <c r="K10" s="14">
        <v>21273.370999999999</v>
      </c>
      <c r="L10" s="14">
        <f t="shared" si="0"/>
        <v>91062.066999999995</v>
      </c>
    </row>
    <row r="11" spans="1:12" ht="21" customHeight="1" x14ac:dyDescent="0.2">
      <c r="A11" s="18" t="s">
        <v>66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>
        <f t="shared" si="0"/>
        <v>0</v>
      </c>
    </row>
    <row r="12" spans="1:12" ht="21" customHeight="1" x14ac:dyDescent="0.2">
      <c r="A12" s="20" t="s">
        <v>57</v>
      </c>
      <c r="B12" s="14">
        <v>2198991.4739999999</v>
      </c>
      <c r="C12" s="14">
        <v>6091997.3899999997</v>
      </c>
      <c r="D12" s="14">
        <v>13062.672</v>
      </c>
      <c r="E12" s="14">
        <v>107185.333</v>
      </c>
      <c r="F12" s="14">
        <v>474708.04200000002</v>
      </c>
      <c r="G12" s="14">
        <v>7706.83</v>
      </c>
      <c r="H12" s="14">
        <v>390769.16499999998</v>
      </c>
      <c r="I12" s="14">
        <v>124060.46799999999</v>
      </c>
      <c r="J12" s="14">
        <v>14326.49</v>
      </c>
      <c r="K12" s="14">
        <v>3584678.9619999998</v>
      </c>
      <c r="L12" s="14">
        <f t="shared" si="0"/>
        <v>13007486.825999999</v>
      </c>
    </row>
    <row r="13" spans="1:12" ht="21" customHeight="1" x14ac:dyDescent="0.2">
      <c r="A13" s="20" t="s">
        <v>58</v>
      </c>
      <c r="B13" s="14">
        <v>42499.167999999998</v>
      </c>
      <c r="C13" s="14">
        <v>13358.962</v>
      </c>
      <c r="D13" s="14">
        <v>0</v>
      </c>
      <c r="E13" s="14">
        <v>0</v>
      </c>
      <c r="F13" s="14">
        <v>8676.8989999999994</v>
      </c>
      <c r="G13" s="14">
        <v>16.454000000000001</v>
      </c>
      <c r="H13" s="14">
        <v>0</v>
      </c>
      <c r="I13" s="14">
        <v>8959.0759999999991</v>
      </c>
      <c r="J13" s="14">
        <v>140</v>
      </c>
      <c r="K13" s="14">
        <v>44428.868000000002</v>
      </c>
      <c r="L13" s="14">
        <f t="shared" si="0"/>
        <v>118079.427</v>
      </c>
    </row>
    <row r="14" spans="1:12" ht="21" customHeight="1" x14ac:dyDescent="0.2">
      <c r="A14" s="20" t="s">
        <v>59</v>
      </c>
      <c r="B14" s="14">
        <v>2156492.307</v>
      </c>
      <c r="C14" s="14">
        <v>6078638.4280000003</v>
      </c>
      <c r="D14" s="14">
        <v>13062.672</v>
      </c>
      <c r="E14" s="14">
        <v>107185.333</v>
      </c>
      <c r="F14" s="14">
        <v>466031.14299999998</v>
      </c>
      <c r="G14" s="14">
        <v>7690.3760000000002</v>
      </c>
      <c r="H14" s="14">
        <v>390769.16499999998</v>
      </c>
      <c r="I14" s="14">
        <v>115101.39200000001</v>
      </c>
      <c r="J14" s="14">
        <v>14186.49</v>
      </c>
      <c r="K14" s="14">
        <v>3540250.094</v>
      </c>
      <c r="L14" s="14">
        <f t="shared" si="0"/>
        <v>12889407.4</v>
      </c>
    </row>
    <row r="15" spans="1:12" ht="21" customHeight="1" x14ac:dyDescent="0.2">
      <c r="A15" s="18" t="s">
        <v>67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>
        <f t="shared" si="0"/>
        <v>0</v>
      </c>
    </row>
    <row r="16" spans="1:12" ht="21" customHeight="1" x14ac:dyDescent="0.2">
      <c r="A16" s="20" t="s">
        <v>60</v>
      </c>
      <c r="B16" s="14">
        <v>125.214</v>
      </c>
      <c r="C16" s="14">
        <v>3734.5709999999999</v>
      </c>
      <c r="D16" s="14">
        <v>14.512</v>
      </c>
      <c r="E16" s="14">
        <v>0</v>
      </c>
      <c r="F16" s="14">
        <v>19842.359</v>
      </c>
      <c r="G16" s="14">
        <v>15.757</v>
      </c>
      <c r="H16" s="14">
        <v>0</v>
      </c>
      <c r="I16" s="14">
        <v>1181.9190000000001</v>
      </c>
      <c r="J16" s="14">
        <v>0</v>
      </c>
      <c r="K16" s="14">
        <v>29973.51</v>
      </c>
      <c r="L16" s="14">
        <f t="shared" si="0"/>
        <v>54887.842000000004</v>
      </c>
    </row>
    <row r="17" spans="1:12" ht="21" customHeight="1" x14ac:dyDescent="0.2">
      <c r="A17" s="20" t="s">
        <v>61</v>
      </c>
      <c r="B17" s="14">
        <v>135225.63399999999</v>
      </c>
      <c r="C17" s="14">
        <v>241056.753</v>
      </c>
      <c r="D17" s="14">
        <v>11.722</v>
      </c>
      <c r="E17" s="14">
        <v>13933.314</v>
      </c>
      <c r="F17" s="14">
        <v>22206.577000000001</v>
      </c>
      <c r="G17" s="14">
        <v>0</v>
      </c>
      <c r="H17" s="14">
        <v>17083.807000000001</v>
      </c>
      <c r="I17" s="14">
        <v>18668.82</v>
      </c>
      <c r="J17" s="14">
        <v>0</v>
      </c>
      <c r="K17" s="14">
        <v>79743.213000000003</v>
      </c>
      <c r="L17" s="14">
        <f>SUM(B17:K17)</f>
        <v>527929.84000000008</v>
      </c>
    </row>
    <row r="18" spans="1:12" ht="21" customHeight="1" x14ac:dyDescent="0.2">
      <c r="A18" s="20" t="s">
        <v>59</v>
      </c>
      <c r="B18" s="14">
        <f>B16-B17</f>
        <v>-135100.41999999998</v>
      </c>
      <c r="C18" s="14">
        <f t="shared" ref="C18:K18" si="1">C16-C17</f>
        <v>-237322.182</v>
      </c>
      <c r="D18" s="14">
        <f t="shared" si="1"/>
        <v>2.7900000000000009</v>
      </c>
      <c r="E18" s="14">
        <f t="shared" si="1"/>
        <v>-13933.314</v>
      </c>
      <c r="F18" s="14">
        <f t="shared" si="1"/>
        <v>-2364.2180000000008</v>
      </c>
      <c r="G18" s="14">
        <f t="shared" si="1"/>
        <v>15.757</v>
      </c>
      <c r="H18" s="14">
        <f t="shared" si="1"/>
        <v>-17083.807000000001</v>
      </c>
      <c r="I18" s="14">
        <f t="shared" si="1"/>
        <v>-17486.900999999998</v>
      </c>
      <c r="J18" s="14">
        <f t="shared" si="1"/>
        <v>0</v>
      </c>
      <c r="K18" s="14">
        <f t="shared" si="1"/>
        <v>-49769.703000000009</v>
      </c>
      <c r="L18" s="14">
        <f>L16-L17</f>
        <v>-473041.99800000008</v>
      </c>
    </row>
    <row r="19" spans="1:12" ht="21" customHeight="1" x14ac:dyDescent="0.2">
      <c r="A19" s="20" t="s">
        <v>27</v>
      </c>
      <c r="B19" s="14">
        <v>359462.89799999999</v>
      </c>
      <c r="C19" s="14">
        <v>672220.69799999997</v>
      </c>
      <c r="D19" s="14">
        <v>882.447</v>
      </c>
      <c r="E19" s="14">
        <v>55678.364000000001</v>
      </c>
      <c r="F19" s="14">
        <v>111614.49</v>
      </c>
      <c r="G19" s="14">
        <v>835.53499999999997</v>
      </c>
      <c r="H19" s="14">
        <v>36646.374000000003</v>
      </c>
      <c r="I19" s="14">
        <v>44849.228000000003</v>
      </c>
      <c r="J19" s="14">
        <v>3320.223</v>
      </c>
      <c r="K19" s="14">
        <v>445806.033</v>
      </c>
      <c r="L19" s="14">
        <f>SUM(B19:K19)</f>
        <v>1731316.29</v>
      </c>
    </row>
    <row r="20" spans="1:12" ht="21" customHeight="1" x14ac:dyDescent="0.2">
      <c r="A20" s="20" t="s">
        <v>28</v>
      </c>
      <c r="B20" s="14">
        <v>3498.7950000000001</v>
      </c>
      <c r="C20" s="14">
        <v>36026.351000000002</v>
      </c>
      <c r="D20" s="14">
        <v>246.214</v>
      </c>
      <c r="E20" s="14">
        <v>0</v>
      </c>
      <c r="F20" s="14">
        <v>0</v>
      </c>
      <c r="G20" s="14">
        <v>316.60300000000001</v>
      </c>
      <c r="H20" s="14">
        <v>32902.472000000002</v>
      </c>
      <c r="I20" s="14">
        <v>0</v>
      </c>
      <c r="J20" s="14">
        <v>141.833</v>
      </c>
      <c r="K20" s="14">
        <v>15903.804</v>
      </c>
      <c r="L20" s="14">
        <f>SUM(B20:K20)</f>
        <v>89036.072</v>
      </c>
    </row>
    <row r="21" spans="1:12" ht="21" customHeight="1" x14ac:dyDescent="0.2">
      <c r="A21" s="22" t="s">
        <v>29</v>
      </c>
      <c r="B21" s="27">
        <v>28303188.094999999</v>
      </c>
      <c r="C21" s="27">
        <v>22673642.574000001</v>
      </c>
      <c r="D21" s="27">
        <v>60133.088000000003</v>
      </c>
      <c r="E21" s="27">
        <v>1044697.336</v>
      </c>
      <c r="F21" s="27">
        <v>5841980.199</v>
      </c>
      <c r="G21" s="27">
        <v>61465.048999999999</v>
      </c>
      <c r="H21" s="27">
        <v>3004054.6230000001</v>
      </c>
      <c r="I21" s="27">
        <v>632263.30700000003</v>
      </c>
      <c r="J21" s="27">
        <v>38796.050000000003</v>
      </c>
      <c r="K21" s="27">
        <v>30511534.368000001</v>
      </c>
      <c r="L21" s="27">
        <f>SUM(B21:K21)</f>
        <v>92171754.68900001</v>
      </c>
    </row>
    <row r="22" spans="1:12" ht="21" customHeight="1" x14ac:dyDescent="0.2">
      <c r="A22" s="24" t="s">
        <v>63</v>
      </c>
      <c r="B22" s="15">
        <v>30727031.493000001</v>
      </c>
      <c r="C22" s="15">
        <v>25779284.405000001</v>
      </c>
      <c r="D22" s="15">
        <v>52969.093000000001</v>
      </c>
      <c r="E22" s="15">
        <v>1112857.638</v>
      </c>
      <c r="F22" s="15">
        <v>6151440.7949999999</v>
      </c>
      <c r="G22" s="15">
        <v>59713.658000000003</v>
      </c>
      <c r="H22" s="15">
        <v>3118537.2609999999</v>
      </c>
      <c r="I22" s="15">
        <v>625225.36499999999</v>
      </c>
      <c r="J22" s="15">
        <v>33718.459000000003</v>
      </c>
      <c r="K22" s="15">
        <v>32796511.659000002</v>
      </c>
      <c r="L22" s="15">
        <f>SUM(B22:K22)</f>
        <v>100457289.82600001</v>
      </c>
    </row>
    <row r="23" spans="1:12" x14ac:dyDescent="0.2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</row>
    <row r="24" spans="1:12" x14ac:dyDescent="0.2">
      <c r="A24" s="17" t="s">
        <v>62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</row>
    <row r="25" spans="1:12" x14ac:dyDescent="0.2">
      <c r="A25" s="17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</row>
    <row r="26" spans="1:12" x14ac:dyDescent="0.2">
      <c r="A26" s="25" t="s">
        <v>76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7" spans="1:12" x14ac:dyDescent="0.2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  <row r="28" spans="1:12" x14ac:dyDescent="0.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</row>
  </sheetData>
  <mergeCells count="2">
    <mergeCell ref="A1:L1"/>
    <mergeCell ref="A2:L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Revenue Long 22</vt:lpstr>
      <vt:lpstr>Revenue Long 21</vt:lpstr>
      <vt:lpstr>Revenue Long 20</vt:lpstr>
      <vt:lpstr>Revenue Long 19</vt:lpstr>
      <vt:lpstr>Revenue Long 18</vt:lpstr>
      <vt:lpstr>Revenue Long 17</vt:lpstr>
      <vt:lpstr>Revenue Long 16</vt:lpstr>
      <vt:lpstr>Revenue Long 15</vt:lpstr>
      <vt:lpstr>Revenue Long 14</vt:lpstr>
      <vt:lpstr>Revenue Long 13</vt:lpstr>
      <vt:lpstr>Revenue Long 12</vt:lpstr>
      <vt:lpstr>Revenue Long 11</vt:lpstr>
      <vt:lpstr>Revenue Long 10</vt:lpstr>
      <vt:lpstr>Revenue Long 09</vt:lpstr>
      <vt:lpstr>Revenue Long 08 </vt:lpstr>
    </vt:vector>
  </TitlesOfParts>
  <Company>Financial Services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dramsamy</dc:creator>
  <cp:lastModifiedBy>JOKHOO Kishan</cp:lastModifiedBy>
  <cp:lastPrinted>2016-08-23T05:38:33Z</cp:lastPrinted>
  <dcterms:created xsi:type="dcterms:W3CDTF">2010-08-19T10:32:38Z</dcterms:created>
  <dcterms:modified xsi:type="dcterms:W3CDTF">2023-07-20T06:44:16Z</dcterms:modified>
</cp:coreProperties>
</file>