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935" windowWidth="15360" windowHeight="8790" activeTab="7"/>
  </bookViews>
  <sheets>
    <sheet name="2006" sheetId="10" r:id="rId1"/>
    <sheet name="2005" sheetId="12" r:id="rId2"/>
    <sheet name="2004" sheetId="8" r:id="rId3"/>
    <sheet name="2003" sheetId="7" r:id="rId4"/>
    <sheet name="2002" sheetId="1" r:id="rId5"/>
    <sheet name="2001" sheetId="5" r:id="rId6"/>
    <sheet name="2000" sheetId="4" r:id="rId7"/>
    <sheet name="1999" sheetId="6" r:id="rId8"/>
  </sheets>
  <externalReferences>
    <externalReference r:id="rId9"/>
    <externalReference r:id="rId10"/>
  </externalReferences>
  <definedNames>
    <definedName name="Bulgaria_Against">#REF!,#REF!,#REF!</definedName>
    <definedName name="Bulgaria_Played">#REF!,#REF!,#REF!</definedName>
    <definedName name="Bulgaria_Results">#REF!,#REF!,#REF!</definedName>
    <definedName name="_xlnm.Criteria" localSheetId="0">#REF!</definedName>
    <definedName name="_xlnm.Criteria">#REF!</definedName>
    <definedName name="Croatia_Against">#REF!,#REF!,#REF!</definedName>
    <definedName name="Croatia_Played">#REF!,#REF!,#REF!</definedName>
    <definedName name="Croatia_Results">#REF!,#REF!,#REF!</definedName>
    <definedName name="Czech_Against">#REF!,#REF!,#REF!</definedName>
    <definedName name="Czech_Played">#REF!,#REF!,#REF!</definedName>
    <definedName name="Czech_Results">#REF!,#REF!,#REF!</definedName>
    <definedName name="_xlnm.Database" localSheetId="0">#REF!</definedName>
    <definedName name="_xlnm.Database">#REF!</definedName>
    <definedName name="Denmark_Against">#REF!,#REF!,#REF!</definedName>
    <definedName name="Denmark_Played">#REF!,#REF!,#REF!</definedName>
    <definedName name="Denmark_Results">#REF!,#REF!,#REF!</definedName>
    <definedName name="Drawpoints">'[2]Group Points'!$B$5</definedName>
    <definedName name="England_Against">#REF!,#REF!,#REF!</definedName>
    <definedName name="England_Played">#REF!,#REF!,#REF!,#REF!,#REF!</definedName>
    <definedName name="England_Results">#REF!,#REF!,#REF!</definedName>
    <definedName name="_xlnm.Extract" localSheetId="0">#REF!</definedName>
    <definedName name="_xlnm.Extract">#REF!</definedName>
    <definedName name="France_Against">#REF!,#REF!,#REF!</definedName>
    <definedName name="France_Played">#REF!,#REF!,#REF!</definedName>
    <definedName name="France_Results">#REF!,#REF!,#REF!</definedName>
    <definedName name="Germany_Against">#REF!,#REF!,#REF!</definedName>
    <definedName name="Germany_Played">#REF!,#REF!,#REF!</definedName>
    <definedName name="Germany_Results">#REF!,#REF!,#REF!</definedName>
    <definedName name="Greece_Against">#REF!,#REF!,#REF!</definedName>
    <definedName name="Greece_Played">#REF!,#REF!,#REF!</definedName>
    <definedName name="Greece_Results">#REF!,#REF!,#REF!</definedName>
    <definedName name="Groupstage_Losers">#REF!</definedName>
    <definedName name="Groupstage_Winners">#REF!</definedName>
    <definedName name="Italy_Against">#REF!,#REF!,#REF!</definedName>
    <definedName name="Italy_Played">#REF!,#REF!,#REF!</definedName>
    <definedName name="Italy_Results">#REF!,#REF!,#REF!</definedName>
    <definedName name="Latvia_Against">#REF!,#REF!,#REF!</definedName>
    <definedName name="Latvia_Played">#REF!,#REF!,#REF!</definedName>
    <definedName name="Latvia_Results">#REF!,#REF!,#REF!</definedName>
    <definedName name="Netherlands_Against">#REF!,#REF!,#REF!</definedName>
    <definedName name="Netherlands_Played">#REF!,#REF!,#REF!</definedName>
    <definedName name="Netherlands_Results">#REF!,#REF!,#REF!</definedName>
    <definedName name="Portugal_Against">#REF!,#REF!,#REF!</definedName>
    <definedName name="Portugal_Played">#REF!,#REF!,#REF!</definedName>
    <definedName name="Portugal_Results">#REF!,#REF!,#REF!</definedName>
    <definedName name="Russia_Against">#REF!,#REF!,#REF!</definedName>
    <definedName name="Russia_Played">#REF!,#REF!,#REF!</definedName>
    <definedName name="Russia_Results">#REF!,#REF!,#REF!</definedName>
    <definedName name="Spain_Against">#REF!,#REF!,#REF!</definedName>
    <definedName name="Spain_Played">#REF!,#REF!,#REF!</definedName>
    <definedName name="Spain_Results">#REF!,#REF!,#REF!</definedName>
    <definedName name="Sweden_Against">#REF!,#REF!,#REF!</definedName>
    <definedName name="Sweden_Played">#REF!,#REF!,#REF!</definedName>
    <definedName name="Sweden_Results">#REF!,#REF!,#REF!</definedName>
    <definedName name="Switzerland_Against">#REF!,#REF!,#REF!</definedName>
    <definedName name="Switzerland_Played">#REF!,#REF!,#REF!</definedName>
    <definedName name="Switzerland_Results">#REF!,#REF!,#REF!</definedName>
    <definedName name="Winpoints">'[2]Group Points'!$B$4</definedName>
    <definedName name="wrn.Print._.all._.sheets." hidden="1">{"print_a",#N/A,FALSE,"US incl HMO Prem";"print_b",#N/A,FALSE,"US excl HMO Prem";"print_c",#N/A,FALSE,"Canada (US$)";"print_d",#N/A,FALSE,"Canada(Canadian $)";"print_e",#N/A,FALSE,"US Health time series"}</definedName>
  </definedNames>
  <calcPr calcId="124519"/>
</workbook>
</file>

<file path=xl/calcChain.xml><?xml version="1.0" encoding="utf-8"?>
<calcChain xmlns="http://schemas.openxmlformats.org/spreadsheetml/2006/main">
  <c r="B18" i="8"/>
  <c r="I14" i="12"/>
  <c r="H14"/>
  <c r="G14"/>
  <c r="F14"/>
  <c r="E14"/>
  <c r="D14"/>
  <c r="C14"/>
  <c r="B14"/>
  <c r="B10"/>
  <c r="R8"/>
  <c r="R9"/>
  <c r="C10"/>
  <c r="R10" s="1"/>
  <c r="D10"/>
  <c r="E10"/>
  <c r="F10"/>
  <c r="G10"/>
  <c r="H10"/>
  <c r="I10"/>
  <c r="J10"/>
  <c r="K10"/>
  <c r="L10"/>
  <c r="M10"/>
  <c r="N10"/>
  <c r="O10"/>
  <c r="P10"/>
  <c r="Q10"/>
  <c r="R12"/>
  <c r="R13"/>
  <c r="J14"/>
  <c r="K14"/>
  <c r="L14"/>
  <c r="M14"/>
  <c r="R14" s="1"/>
  <c r="N14"/>
  <c r="O14"/>
  <c r="P14"/>
  <c r="Q14"/>
  <c r="D16"/>
  <c r="E16"/>
  <c r="F16"/>
  <c r="G16"/>
  <c r="I16"/>
  <c r="J16"/>
  <c r="K16"/>
  <c r="L16"/>
  <c r="M16"/>
  <c r="N16"/>
  <c r="O16"/>
  <c r="P16"/>
  <c r="R16"/>
  <c r="D17"/>
  <c r="E17"/>
  <c r="F17"/>
  <c r="G17"/>
  <c r="I17"/>
  <c r="J17"/>
  <c r="K17"/>
  <c r="L17"/>
  <c r="M17"/>
  <c r="N17"/>
  <c r="O17"/>
  <c r="P17"/>
  <c r="R17"/>
  <c r="B18"/>
  <c r="C18"/>
  <c r="D18"/>
  <c r="E18"/>
  <c r="F18"/>
  <c r="G18"/>
  <c r="H18"/>
  <c r="I18"/>
  <c r="J18"/>
  <c r="K18"/>
  <c r="L18"/>
  <c r="M18"/>
  <c r="N18"/>
  <c r="O18"/>
  <c r="P18"/>
  <c r="Q18"/>
  <c r="R18"/>
  <c r="D20"/>
  <c r="E20"/>
  <c r="F20"/>
  <c r="G20"/>
  <c r="I20"/>
  <c r="J20"/>
  <c r="K20"/>
  <c r="L20"/>
  <c r="M20"/>
  <c r="N20"/>
  <c r="O20"/>
  <c r="P20"/>
  <c r="R20"/>
  <c r="E21"/>
  <c r="F21"/>
  <c r="G21"/>
  <c r="J21"/>
  <c r="K21"/>
  <c r="L21"/>
  <c r="N21"/>
  <c r="O21"/>
  <c r="P21"/>
  <c r="R21"/>
  <c r="D22"/>
  <c r="E22"/>
  <c r="F22"/>
  <c r="G22"/>
  <c r="I22"/>
  <c r="J22"/>
  <c r="K22"/>
  <c r="M22"/>
  <c r="N22"/>
  <c r="O22"/>
  <c r="P22"/>
  <c r="R22"/>
  <c r="R23"/>
  <c r="D24"/>
  <c r="E24"/>
  <c r="F24"/>
  <c r="G24"/>
  <c r="I24"/>
  <c r="J24"/>
  <c r="L24"/>
  <c r="N24"/>
  <c r="O24"/>
  <c r="P24"/>
  <c r="R24"/>
  <c r="D25"/>
  <c r="E25"/>
  <c r="R25" s="1"/>
  <c r="G25"/>
  <c r="I25"/>
  <c r="J25"/>
  <c r="K25"/>
  <c r="L25"/>
  <c r="M25"/>
  <c r="N25"/>
  <c r="O25"/>
  <c r="G26"/>
  <c r="I26"/>
  <c r="J26"/>
  <c r="O26"/>
  <c r="R26"/>
  <c r="E27"/>
  <c r="F27"/>
  <c r="G27"/>
  <c r="H27"/>
  <c r="I27"/>
  <c r="J27"/>
  <c r="K27"/>
  <c r="L27"/>
  <c r="N27"/>
  <c r="O27"/>
  <c r="P27"/>
  <c r="R27"/>
  <c r="D28"/>
  <c r="E28"/>
  <c r="F28"/>
  <c r="G28"/>
  <c r="I28"/>
  <c r="J28"/>
  <c r="K28"/>
  <c r="L28"/>
  <c r="N28"/>
  <c r="O28"/>
  <c r="P28"/>
  <c r="R28"/>
  <c r="D29"/>
  <c r="E29"/>
  <c r="R29" s="1"/>
  <c r="F29"/>
  <c r="G29"/>
  <c r="I29"/>
  <c r="J29"/>
  <c r="K29"/>
  <c r="L29"/>
  <c r="M29"/>
  <c r="N29"/>
  <c r="O29"/>
  <c r="P29"/>
  <c r="I30"/>
  <c r="L30"/>
  <c r="R30"/>
  <c r="B31"/>
  <c r="C31"/>
  <c r="D31"/>
  <c r="E31"/>
  <c r="F31"/>
  <c r="G31"/>
  <c r="H31"/>
  <c r="I31"/>
  <c r="R31" s="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R32"/>
  <c r="D33"/>
  <c r="E33"/>
  <c r="F33"/>
  <c r="G33"/>
  <c r="H33"/>
  <c r="I33"/>
  <c r="J33"/>
  <c r="K33"/>
  <c r="L33"/>
  <c r="M33"/>
  <c r="N33"/>
  <c r="O33"/>
  <c r="P33"/>
  <c r="R33"/>
  <c r="B34"/>
  <c r="C34"/>
  <c r="D34"/>
  <c r="E34"/>
  <c r="F34"/>
  <c r="G34"/>
  <c r="R34" s="1"/>
  <c r="H34"/>
  <c r="I34"/>
  <c r="J34"/>
  <c r="K34"/>
  <c r="L34"/>
  <c r="M34"/>
  <c r="N34"/>
  <c r="O34"/>
  <c r="P34"/>
  <c r="Q34"/>
  <c r="R8" i="10"/>
  <c r="R9"/>
  <c r="R10"/>
  <c r="R12"/>
  <c r="R13"/>
  <c r="R14"/>
  <c r="R16"/>
  <c r="R17"/>
  <c r="R18"/>
  <c r="R20"/>
  <c r="R21"/>
  <c r="R22"/>
  <c r="R23"/>
  <c r="R24"/>
  <c r="R25"/>
  <c r="R26"/>
  <c r="R27"/>
  <c r="R28"/>
  <c r="R29"/>
  <c r="R30"/>
  <c r="R31"/>
  <c r="R32"/>
  <c r="R33"/>
  <c r="R34"/>
  <c r="R8" i="8"/>
  <c r="R9"/>
  <c r="R10"/>
  <c r="R12"/>
  <c r="R13"/>
  <c r="R14" s="1"/>
  <c r="R33" s="1"/>
  <c r="R35" s="1"/>
  <c r="R16"/>
  <c r="R17"/>
  <c r="R20"/>
  <c r="R21"/>
  <c r="R22"/>
  <c r="R23"/>
  <c r="R24"/>
  <c r="R25"/>
  <c r="R26"/>
  <c r="R27"/>
  <c r="R28"/>
  <c r="R29"/>
  <c r="R30"/>
  <c r="R31"/>
  <c r="R34"/>
  <c r="Q10"/>
  <c r="Q33" s="1"/>
  <c r="Q35" s="1"/>
  <c r="Q14"/>
  <c r="Q31"/>
  <c r="P10"/>
  <c r="P14"/>
  <c r="P31"/>
  <c r="P33"/>
  <c r="P35" s="1"/>
  <c r="O10"/>
  <c r="O33" s="1"/>
  <c r="O35" s="1"/>
  <c r="O14"/>
  <c r="O31"/>
  <c r="N10"/>
  <c r="N14"/>
  <c r="N31"/>
  <c r="N33"/>
  <c r="N35" s="1"/>
  <c r="M10"/>
  <c r="M33" s="1"/>
  <c r="M35" s="1"/>
  <c r="M14"/>
  <c r="M31"/>
  <c r="L10"/>
  <c r="L14"/>
  <c r="L31"/>
  <c r="L33"/>
  <c r="L35" s="1"/>
  <c r="K10"/>
  <c r="K33" s="1"/>
  <c r="K35" s="1"/>
  <c r="K14"/>
  <c r="K31"/>
  <c r="J10"/>
  <c r="J14"/>
  <c r="J31"/>
  <c r="J33"/>
  <c r="J35" s="1"/>
  <c r="I10"/>
  <c r="I33" s="1"/>
  <c r="I35" s="1"/>
  <c r="I14"/>
  <c r="I31"/>
  <c r="H10"/>
  <c r="H14"/>
  <c r="H31"/>
  <c r="H33"/>
  <c r="H35" s="1"/>
  <c r="G10"/>
  <c r="G33" s="1"/>
  <c r="G35" s="1"/>
  <c r="G14"/>
  <c r="G31"/>
  <c r="F10"/>
  <c r="F14"/>
  <c r="F31"/>
  <c r="F33"/>
  <c r="F35" s="1"/>
  <c r="E10"/>
  <c r="E33" s="1"/>
  <c r="E35" s="1"/>
  <c r="E14"/>
  <c r="E31"/>
  <c r="D10"/>
  <c r="D14"/>
  <c r="D31"/>
  <c r="D33"/>
  <c r="D35" s="1"/>
  <c r="C10"/>
  <c r="C33" s="1"/>
  <c r="C35" s="1"/>
  <c r="C14"/>
  <c r="C31"/>
  <c r="B10"/>
  <c r="B33" s="1"/>
  <c r="B35" s="1"/>
  <c r="B14"/>
  <c r="B31"/>
  <c r="R18"/>
  <c r="Q18"/>
  <c r="P18"/>
  <c r="O18"/>
  <c r="N18"/>
  <c r="M18"/>
  <c r="L18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<sst xmlns="http://schemas.openxmlformats.org/spreadsheetml/2006/main" count="366" uniqueCount="92">
  <si>
    <t xml:space="preserve"> </t>
  </si>
  <si>
    <t>GENERAL INSURANCE BUSINESS</t>
  </si>
  <si>
    <t>COMPANYWISE  REVENUE ACCOUNTS  FOR  THE  YEAR  2002</t>
  </si>
  <si>
    <t>(Amount   Rs 000 )</t>
  </si>
  <si>
    <t>COMPANY</t>
  </si>
  <si>
    <t xml:space="preserve">             PREMIUM          </t>
  </si>
  <si>
    <t xml:space="preserve">          CLAIMS       </t>
  </si>
  <si>
    <t>COMMISSION</t>
  </si>
  <si>
    <t>ADMINISTRA-</t>
  </si>
  <si>
    <t>INT. &amp; INV.</t>
  </si>
  <si>
    <t>Gross</t>
  </si>
  <si>
    <t>Reinsurance</t>
  </si>
  <si>
    <t>Net</t>
  </si>
  <si>
    <t>Received</t>
  </si>
  <si>
    <t>Paid</t>
  </si>
  <si>
    <t>TION  COST</t>
  </si>
  <si>
    <t>INCOME *</t>
  </si>
  <si>
    <t>ALBATROSS</t>
  </si>
  <si>
    <t>BAI</t>
  </si>
  <si>
    <t>GFA</t>
  </si>
  <si>
    <t>IOGA</t>
  </si>
  <si>
    <t>ISLAND GEN</t>
  </si>
  <si>
    <t>JUBILEE</t>
  </si>
  <si>
    <t>LA PRUDENCE</t>
  </si>
  <si>
    <t>LAMCO</t>
  </si>
  <si>
    <t>LEADWAY</t>
  </si>
  <si>
    <t>MTIAN. EAGLE</t>
  </si>
  <si>
    <t>MTIUS. UNION</t>
  </si>
  <si>
    <t>RAINBOW</t>
  </si>
  <si>
    <t>SECURA12/2000</t>
  </si>
  <si>
    <t>SICOM</t>
  </si>
  <si>
    <t>STELLA</t>
  </si>
  <si>
    <t>SUN</t>
  </si>
  <si>
    <t>SWAN</t>
  </si>
  <si>
    <t>TOTAL  (Local Insurers)</t>
  </si>
  <si>
    <t>MUNICH RE</t>
  </si>
  <si>
    <t>NEW INDIA3/2002</t>
  </si>
  <si>
    <t>TOTAL  (Foreign  Insurers)</t>
  </si>
  <si>
    <t>GRAND TOTAL</t>
  </si>
  <si>
    <t xml:space="preserve">      *    Interest  and  Investment  Income</t>
  </si>
  <si>
    <t>COMPANYWISE  REVENUE ACCOUNTS  FOR  THE  YEAR  2001</t>
  </si>
  <si>
    <t>NEW INDIA3/2001</t>
  </si>
  <si>
    <t>COMPANYWISE  REVENUE ACCOUNTS  FOR  THE  YEAR  2000</t>
  </si>
  <si>
    <t>SECURA</t>
  </si>
  <si>
    <t>NEW INDIA</t>
  </si>
  <si>
    <t>COMPANYWISE  REVENUE ACCOUNTS  FOR  THE  YEAR  1999</t>
  </si>
  <si>
    <t>ISLAND LIFE</t>
  </si>
  <si>
    <t>COMPANYWISE  REVENUE ACCOUNTS  FOR  THE  YEAR  2003</t>
  </si>
  <si>
    <t>APPENDIX 9</t>
  </si>
  <si>
    <t>INCOME &amp; EXPENDITURE FOR GENERAL INSURANCE BUSINESS (2004)</t>
  </si>
  <si>
    <t>(BY INDIVIDUAL INSURER)</t>
  </si>
  <si>
    <t>(Amount  Rs 000)</t>
  </si>
  <si>
    <t>CEYLINCO  STELLA</t>
  </si>
  <si>
    <t>ISLAND GENERAL</t>
  </si>
  <si>
    <t>LA    PRUDENCE</t>
  </si>
  <si>
    <t>MTIAN  EAGLE</t>
  </si>
  <si>
    <t>MTIUS  UNION</t>
  </si>
  <si>
    <t>Grand Total</t>
  </si>
  <si>
    <t>1.  PREMIUMS</t>
  </si>
  <si>
    <t>Net premiums received &amp; receivable</t>
  </si>
  <si>
    <t>(Increase) / Decrease in Unearned Premium Reserve</t>
  </si>
  <si>
    <t>Net earned premiums</t>
  </si>
  <si>
    <t>2.  CLAIMS</t>
  </si>
  <si>
    <t>Net claims paid</t>
  </si>
  <si>
    <t>Net increase / (decrease) in outstanding claims reserve</t>
  </si>
  <si>
    <t>Net claims incurred</t>
  </si>
  <si>
    <t>3.  COMMISSIONS</t>
  </si>
  <si>
    <t>Commissions received &amp; receivable</t>
  </si>
  <si>
    <t>Commissions paid &amp; payable</t>
  </si>
  <si>
    <t>Net commissions</t>
  </si>
  <si>
    <t>4.  ADMINISTRATION COSTS</t>
  </si>
  <si>
    <t>Staff salaries &amp; Other Benefits</t>
  </si>
  <si>
    <t>Directors' Fees, etc …</t>
  </si>
  <si>
    <t>General Management Expenses</t>
  </si>
  <si>
    <t>Professional Fees:</t>
  </si>
  <si>
    <t>Auditors</t>
  </si>
  <si>
    <t>Legal</t>
  </si>
  <si>
    <t>Survey</t>
  </si>
  <si>
    <t>Other</t>
  </si>
  <si>
    <t>Maintenance &amp; Repairs</t>
  </si>
  <si>
    <t>Motor Vehicles Expenses</t>
  </si>
  <si>
    <t>Total administration costs</t>
  </si>
  <si>
    <t xml:space="preserve">5.  UNDERWRITING PROFIT/LOSS </t>
  </si>
  <si>
    <t>6.  INTEREST &amp; INVESTMENT INCOME</t>
  </si>
  <si>
    <t>7.  OPERATING PROFIT/LOSS CARRIED FORWARD TO PROFIT &amp; LOSS ACCOUNT</t>
  </si>
  <si>
    <t>ANNEX 9</t>
  </si>
  <si>
    <t>GENERAL  INSURANCE  BUSINESS</t>
  </si>
  <si>
    <t>INCOME &amp; EXPENDITURE FOR YEAR 2006 (BY INDIVIDUAL INSURER)</t>
  </si>
  <si>
    <t>Net Commissions</t>
  </si>
  <si>
    <r>
      <t>Increase</t>
    </r>
    <r>
      <rPr>
        <sz val="10"/>
        <rFont val="Arial"/>
      </rPr>
      <t xml:space="preserve"> / </t>
    </r>
    <r>
      <rPr>
        <sz val="10"/>
        <rFont val="Arial"/>
        <family val="2"/>
      </rPr>
      <t>Decrease</t>
    </r>
    <r>
      <rPr>
        <sz val="10"/>
        <rFont val="Arial"/>
      </rPr>
      <t xml:space="preserve"> in Unearned Premium Reserve</t>
    </r>
  </si>
  <si>
    <t xml:space="preserve">5.  UNDERWRITING PROFIT/(LOSS) </t>
  </si>
  <si>
    <t>INCOME &amp; EXPENDITURE FOR GENERAL INSURANCE BUSINESS (2005)-Revised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</si>
</sst>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0"/>
      <name val="Arial"/>
    </font>
    <font>
      <sz val="10"/>
      <name val="Arial"/>
    </font>
    <font>
      <b/>
      <sz val="10"/>
      <name val="Helv"/>
    </font>
    <font>
      <b/>
      <sz val="14"/>
      <name val="Helv"/>
    </font>
    <font>
      <b/>
      <sz val="12"/>
      <name val="Helv"/>
    </font>
    <font>
      <sz val="10"/>
      <name val="Helv"/>
    </font>
    <font>
      <sz val="10"/>
      <name val="Arial"/>
      <family val="2"/>
    </font>
    <font>
      <sz val="10"/>
      <color indexed="10"/>
      <name val="Helv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2"/>
      <name val="Helv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Helvetica"/>
      <family val="2"/>
    </font>
    <font>
      <sz val="10"/>
      <name val="Arial"/>
      <family val="2"/>
    </font>
    <font>
      <b/>
      <sz val="12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5" fillId="0" borderId="15" xfId="0" applyFont="1" applyBorder="1"/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7" fillId="0" borderId="15" xfId="0" applyFont="1" applyBorder="1"/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8" fillId="0" borderId="0" xfId="0" applyFont="1"/>
    <xf numFmtId="3" fontId="0" fillId="0" borderId="0" xfId="0" applyNumberFormat="1"/>
    <xf numFmtId="0" fontId="2" fillId="0" borderId="15" xfId="0" applyFont="1" applyBorder="1"/>
    <xf numFmtId="3" fontId="10" fillId="0" borderId="16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0" borderId="0" xfId="0" applyFont="1"/>
    <xf numFmtId="0" fontId="5" fillId="0" borderId="22" xfId="0" applyFont="1" applyBorder="1"/>
    <xf numFmtId="0" fontId="12" fillId="0" borderId="15" xfId="0" applyFont="1" applyBorder="1"/>
    <xf numFmtId="3" fontId="13" fillId="0" borderId="16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13" fillId="0" borderId="0" xfId="0" applyFont="1"/>
    <xf numFmtId="3" fontId="10" fillId="0" borderId="20" xfId="0" applyNumberFormat="1" applyFont="1" applyBorder="1" applyAlignment="1">
      <alignment horizontal="center"/>
    </xf>
    <xf numFmtId="0" fontId="4" fillId="0" borderId="6" xfId="0" applyFont="1" applyBorder="1"/>
    <xf numFmtId="3" fontId="2" fillId="0" borderId="23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26" xfId="0" applyFont="1" applyBorder="1"/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5" fillId="0" borderId="31" xfId="0" applyFont="1" applyBorder="1"/>
    <xf numFmtId="3" fontId="0" fillId="0" borderId="29" xfId="0" applyNumberForma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0" fontId="2" fillId="0" borderId="31" xfId="0" applyFont="1" applyBorder="1"/>
    <xf numFmtId="3" fontId="10" fillId="0" borderId="29" xfId="0" applyNumberFormat="1" applyFont="1" applyBorder="1" applyAlignment="1">
      <alignment horizontal="center"/>
    </xf>
    <xf numFmtId="3" fontId="11" fillId="0" borderId="36" xfId="0" applyNumberFormat="1" applyFont="1" applyBorder="1" applyAlignment="1">
      <alignment horizontal="center"/>
    </xf>
    <xf numFmtId="0" fontId="5" fillId="0" borderId="16" xfId="0" applyFont="1" applyBorder="1"/>
    <xf numFmtId="3" fontId="0" fillId="0" borderId="34" xfId="0" applyNumberForma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10" fillId="0" borderId="36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0" fontId="4" fillId="0" borderId="23" xfId="0" applyFont="1" applyBorder="1"/>
    <xf numFmtId="3" fontId="2" fillId="0" borderId="3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8" fontId="16" fillId="0" borderId="0" xfId="0" applyNumberFormat="1" applyFont="1"/>
    <xf numFmtId="38" fontId="11" fillId="0" borderId="0" xfId="0" applyNumberFormat="1" applyFont="1"/>
    <xf numFmtId="38" fontId="1" fillId="0" borderId="39" xfId="0" applyNumberFormat="1" applyFont="1" applyBorder="1" applyAlignment="1">
      <alignment wrapText="1"/>
    </xf>
    <xf numFmtId="38" fontId="11" fillId="0" borderId="39" xfId="0" applyNumberFormat="1" applyFont="1" applyBorder="1" applyAlignment="1">
      <alignment horizontal="center" wrapText="1"/>
    </xf>
    <xf numFmtId="38" fontId="11" fillId="0" borderId="39" xfId="0" applyNumberFormat="1" applyFont="1" applyBorder="1" applyAlignment="1">
      <alignment horizontal="right" wrapText="1"/>
    </xf>
    <xf numFmtId="38" fontId="1" fillId="0" borderId="0" xfId="0" applyNumberFormat="1" applyFont="1" applyAlignment="1">
      <alignment wrapText="1"/>
    </xf>
    <xf numFmtId="38" fontId="1" fillId="0" borderId="39" xfId="0" applyNumberFormat="1" applyFont="1" applyBorder="1" applyAlignment="1">
      <alignment horizontal="right"/>
    </xf>
    <xf numFmtId="38" fontId="11" fillId="0" borderId="39" xfId="0" applyNumberFormat="1" applyFont="1" applyBorder="1" applyAlignment="1">
      <alignment horizontal="right"/>
    </xf>
    <xf numFmtId="38" fontId="1" fillId="0" borderId="39" xfId="0" applyNumberFormat="1" applyFont="1" applyBorder="1" applyAlignment="1">
      <alignment horizontal="left" wrapText="1" indent="2"/>
    </xf>
    <xf numFmtId="3" fontId="11" fillId="0" borderId="39" xfId="0" applyNumberFormat="1" applyFont="1" applyBorder="1" applyAlignment="1">
      <alignment horizontal="center"/>
    </xf>
    <xf numFmtId="38" fontId="10" fillId="0" borderId="0" xfId="0" applyNumberFormat="1" applyFont="1" applyAlignment="1">
      <alignment horizontal="right"/>
    </xf>
    <xf numFmtId="38" fontId="10" fillId="0" borderId="39" xfId="0" applyNumberFormat="1" applyFont="1" applyBorder="1" applyAlignment="1">
      <alignment horizontal="right"/>
    </xf>
    <xf numFmtId="38" fontId="11" fillId="0" borderId="39" xfId="0" applyNumberFormat="1" applyFont="1" applyBorder="1" applyAlignment="1">
      <alignment vertical="center" wrapText="1"/>
    </xf>
    <xf numFmtId="38" fontId="17" fillId="0" borderId="0" xfId="0" applyNumberFormat="1" applyFont="1"/>
    <xf numFmtId="38" fontId="19" fillId="0" borderId="0" xfId="0" applyNumberFormat="1" applyFont="1"/>
    <xf numFmtId="38" fontId="21" fillId="0" borderId="0" xfId="0" applyNumberFormat="1" applyFont="1"/>
    <xf numFmtId="38" fontId="21" fillId="0" borderId="0" xfId="0" applyNumberFormat="1" applyFont="1" applyAlignment="1">
      <alignment horizontal="right"/>
    </xf>
    <xf numFmtId="38" fontId="17" fillId="0" borderId="0" xfId="0" applyNumberFormat="1" applyFont="1" applyAlignment="1">
      <alignment horizontal="right"/>
    </xf>
    <xf numFmtId="38" fontId="17" fillId="0" borderId="39" xfId="0" applyNumberFormat="1" applyFont="1" applyBorder="1" applyAlignment="1">
      <alignment wrapText="1"/>
    </xf>
    <xf numFmtId="3" fontId="10" fillId="0" borderId="40" xfId="0" applyNumberFormat="1" applyFont="1" applyBorder="1" applyAlignment="1">
      <alignment horizontal="center" vertical="center"/>
    </xf>
    <xf numFmtId="38" fontId="10" fillId="0" borderId="39" xfId="0" applyNumberFormat="1" applyFont="1" applyBorder="1" applyAlignment="1">
      <alignment horizontal="center" vertical="center" wrapText="1"/>
    </xf>
    <xf numFmtId="38" fontId="17" fillId="0" borderId="0" xfId="0" applyNumberFormat="1" applyFont="1" applyAlignment="1">
      <alignment wrapText="1"/>
    </xf>
    <xf numFmtId="38" fontId="17" fillId="0" borderId="39" xfId="0" applyNumberFormat="1" applyFont="1" applyBorder="1" applyAlignment="1">
      <alignment horizontal="right"/>
    </xf>
    <xf numFmtId="38" fontId="17" fillId="0" borderId="39" xfId="0" applyNumberFormat="1" applyFont="1" applyBorder="1" applyAlignment="1">
      <alignment horizontal="left" wrapText="1" indent="2"/>
    </xf>
    <xf numFmtId="38" fontId="6" fillId="0" borderId="39" xfId="0" applyNumberFormat="1" applyFont="1" applyBorder="1" applyAlignment="1">
      <alignment horizontal="left" wrapText="1" indent="2"/>
    </xf>
    <xf numFmtId="164" fontId="17" fillId="0" borderId="0" xfId="0" applyNumberFormat="1" applyFont="1"/>
    <xf numFmtId="38" fontId="17" fillId="0" borderId="0" xfId="0" applyNumberFormat="1" applyFont="1" applyBorder="1"/>
    <xf numFmtId="38" fontId="17" fillId="0" borderId="0" xfId="0" applyNumberFormat="1" applyFont="1" applyAlignment="1">
      <alignment horizontal="center"/>
    </xf>
    <xf numFmtId="38" fontId="1" fillId="0" borderId="0" xfId="0" applyNumberFormat="1" applyFont="1" applyFill="1"/>
    <xf numFmtId="38" fontId="1" fillId="0" borderId="0" xfId="0" applyNumberFormat="1" applyFont="1" applyFill="1" applyAlignment="1">
      <alignment horizontal="right"/>
    </xf>
    <xf numFmtId="38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8" fontId="16" fillId="0" borderId="0" xfId="0" applyNumberFormat="1" applyFont="1" applyFill="1"/>
    <xf numFmtId="38" fontId="1" fillId="0" borderId="39" xfId="0" applyNumberFormat="1" applyFont="1" applyFill="1" applyBorder="1" applyAlignment="1">
      <alignment wrapText="1"/>
    </xf>
    <xf numFmtId="38" fontId="11" fillId="0" borderId="39" xfId="0" applyNumberFormat="1" applyFont="1" applyFill="1" applyBorder="1" applyAlignment="1">
      <alignment horizontal="center" wrapText="1"/>
    </xf>
    <xf numFmtId="38" fontId="1" fillId="0" borderId="0" xfId="0" applyNumberFormat="1" applyFont="1" applyFill="1" applyAlignment="1">
      <alignment wrapText="1"/>
    </xf>
    <xf numFmtId="38" fontId="1" fillId="0" borderId="39" xfId="0" applyNumberFormat="1" applyFont="1" applyFill="1" applyBorder="1" applyAlignment="1">
      <alignment horizontal="right"/>
    </xf>
    <xf numFmtId="38" fontId="10" fillId="0" borderId="39" xfId="0" applyNumberFormat="1" applyFont="1" applyFill="1" applyBorder="1" applyAlignment="1">
      <alignment horizontal="right"/>
    </xf>
    <xf numFmtId="38" fontId="1" fillId="0" borderId="39" xfId="0" applyNumberFormat="1" applyFont="1" applyFill="1" applyBorder="1" applyAlignment="1">
      <alignment horizontal="left" wrapText="1" indent="2"/>
    </xf>
    <xf numFmtId="164" fontId="1" fillId="0" borderId="0" xfId="0" applyNumberFormat="1" applyFont="1" applyFill="1"/>
    <xf numFmtId="38" fontId="18" fillId="0" borderId="0" xfId="0" applyNumberFormat="1" applyFont="1" applyAlignment="1">
      <alignment horizontal="center"/>
    </xf>
    <xf numFmtId="38" fontId="20" fillId="0" borderId="0" xfId="0" applyNumberFormat="1" applyFont="1" applyAlignment="1">
      <alignment horizontal="center"/>
    </xf>
    <xf numFmtId="38" fontId="11" fillId="0" borderId="0" xfId="0" applyNumberFormat="1" applyFont="1" applyFill="1" applyAlignment="1">
      <alignment horizontal="center"/>
    </xf>
    <xf numFmtId="38" fontId="1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old%20data\2004\misc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misc\Euro%20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licies in force gen"/>
      <sheetName val="cisna data 2003"/>
      <sheetName val="s.returns dec 2003"/>
      <sheetName val="lamco LT rev acs"/>
      <sheetName val="Lamco Gen rev acs"/>
      <sheetName val="Africa Re"/>
      <sheetName val="ce ins data"/>
      <sheetName val="Rainbow InspectorsComment sheet"/>
      <sheetName val="rainbow court cases 2004"/>
      <sheetName val="munich re"/>
      <sheetName val="key perf ind"/>
      <sheetName val="credit facility analysis"/>
      <sheetName val="ceylinc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uro 2000"/>
      <sheetName val="Group Points"/>
    </sheetNames>
    <sheetDataSet>
      <sheetData sheetId="0" refreshError="1"/>
      <sheetData sheetId="1">
        <row r="4">
          <cell r="B4">
            <v>3</v>
          </cell>
        </row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U37"/>
  <sheetViews>
    <sheetView showGridLines="0" zoomScaleNormal="75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I36" sqref="I36"/>
    </sheetView>
  </sheetViews>
  <sheetFormatPr defaultRowHeight="12.75"/>
  <cols>
    <col min="1" max="1" width="28.42578125" style="124" customWidth="1"/>
    <col min="2" max="2" width="11.85546875" style="128" customWidth="1"/>
    <col min="3" max="3" width="8.28515625" style="128" customWidth="1"/>
    <col min="4" max="4" width="11.5703125" style="128" customWidth="1"/>
    <col min="5" max="5" width="8.5703125" style="128" bestFit="1" customWidth="1"/>
    <col min="6" max="6" width="8.42578125" style="128" bestFit="1" customWidth="1"/>
    <col min="7" max="8" width="10.140625" style="128" customWidth="1"/>
    <col min="9" max="9" width="11.28515625" style="128" customWidth="1"/>
    <col min="10" max="10" width="9.140625" style="128"/>
    <col min="11" max="11" width="9.28515625" style="128" customWidth="1"/>
    <col min="12" max="12" width="10" style="128" bestFit="1" customWidth="1"/>
    <col min="13" max="13" width="9.28515625" style="128" bestFit="1" customWidth="1"/>
    <col min="14" max="14" width="11.42578125" style="128" customWidth="1"/>
    <col min="15" max="15" width="8.5703125" style="128" bestFit="1" customWidth="1"/>
    <col min="16" max="16" width="9.140625" style="124" bestFit="1"/>
    <col min="17" max="17" width="9.28515625" style="128" bestFit="1" customWidth="1"/>
    <col min="18" max="18" width="12.5703125" style="121" customWidth="1"/>
    <col min="19" max="16384" width="9.140625" style="124"/>
  </cols>
  <sheetData>
    <row r="1" spans="1:20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7"/>
      <c r="Q1" s="108"/>
      <c r="R1" s="121" t="s">
        <v>85</v>
      </c>
    </row>
    <row r="2" spans="1:20" s="125" customFormat="1" ht="16.5" customHeight="1">
      <c r="A2" s="151" t="s">
        <v>86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s="126" customFormat="1" ht="16.5" customHeight="1">
      <c r="A3" s="152" t="s">
        <v>87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20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6"/>
      <c r="Q4" s="127"/>
      <c r="R4" s="110" t="s">
        <v>51</v>
      </c>
    </row>
    <row r="5" spans="1:20" ht="9.75" customHeight="1">
      <c r="A5" s="111"/>
      <c r="R5" s="124"/>
    </row>
    <row r="6" spans="1:20" s="132" customFormat="1" ht="30" customHeight="1">
      <c r="A6" s="129"/>
      <c r="B6" s="130" t="s">
        <v>17</v>
      </c>
      <c r="C6" s="130" t="s">
        <v>18</v>
      </c>
      <c r="D6" s="131" t="s">
        <v>52</v>
      </c>
      <c r="E6" s="131" t="s">
        <v>19</v>
      </c>
      <c r="F6" s="130" t="s">
        <v>20</v>
      </c>
      <c r="G6" s="131" t="s">
        <v>21</v>
      </c>
      <c r="H6" s="131" t="s">
        <v>22</v>
      </c>
      <c r="I6" s="131" t="s">
        <v>54</v>
      </c>
      <c r="J6" s="131" t="s">
        <v>24</v>
      </c>
      <c r="K6" s="131" t="s">
        <v>55</v>
      </c>
      <c r="L6" s="131" t="s">
        <v>56</v>
      </c>
      <c r="M6" s="131" t="s">
        <v>44</v>
      </c>
      <c r="N6" s="131" t="s">
        <v>28</v>
      </c>
      <c r="O6" s="131" t="s">
        <v>30</v>
      </c>
      <c r="P6" s="131" t="s">
        <v>32</v>
      </c>
      <c r="Q6" s="131" t="s">
        <v>33</v>
      </c>
      <c r="R6" s="131" t="s">
        <v>57</v>
      </c>
    </row>
    <row r="7" spans="1:20" ht="24" customHeight="1">
      <c r="A7" s="123" t="s">
        <v>58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22"/>
    </row>
    <row r="8" spans="1:20" ht="27" customHeight="1">
      <c r="A8" s="134" t="s">
        <v>59</v>
      </c>
      <c r="B8" s="133">
        <v>129124</v>
      </c>
      <c r="C8" s="133">
        <v>0</v>
      </c>
      <c r="D8" s="133">
        <v>83612</v>
      </c>
      <c r="E8" s="133">
        <v>49346</v>
      </c>
      <c r="F8" s="133">
        <v>9416</v>
      </c>
      <c r="G8" s="133">
        <v>49295</v>
      </c>
      <c r="H8" s="133">
        <v>0</v>
      </c>
      <c r="I8" s="133">
        <v>191723</v>
      </c>
      <c r="J8" s="133">
        <v>111672</v>
      </c>
      <c r="K8" s="133">
        <v>186677</v>
      </c>
      <c r="L8" s="133">
        <v>318621</v>
      </c>
      <c r="M8" s="133">
        <v>134194</v>
      </c>
      <c r="N8" s="133">
        <v>82257</v>
      </c>
      <c r="O8" s="133">
        <v>114097</v>
      </c>
      <c r="P8" s="133">
        <v>68869</v>
      </c>
      <c r="Q8" s="133">
        <v>347135</v>
      </c>
      <c r="R8" s="122">
        <f>SUM(B8:Q8)</f>
        <v>1876038</v>
      </c>
    </row>
    <row r="9" spans="1:20" ht="27" customHeight="1">
      <c r="A9" s="135" t="s">
        <v>89</v>
      </c>
      <c r="B9" s="133">
        <v>5043</v>
      </c>
      <c r="C9" s="133">
        <v>0</v>
      </c>
      <c r="D9" s="133">
        <v>14567</v>
      </c>
      <c r="E9" s="133">
        <v>-4282</v>
      </c>
      <c r="F9" s="133">
        <v>-964</v>
      </c>
      <c r="G9" s="133">
        <v>7392</v>
      </c>
      <c r="H9" s="133">
        <v>0</v>
      </c>
      <c r="I9" s="133">
        <v>-7797</v>
      </c>
      <c r="J9" s="133">
        <v>-11496</v>
      </c>
      <c r="K9" s="133">
        <v>-8384</v>
      </c>
      <c r="L9" s="133">
        <v>-8116</v>
      </c>
      <c r="M9" s="133">
        <v>-9687</v>
      </c>
      <c r="N9" s="133">
        <v>-3771</v>
      </c>
      <c r="O9" s="133">
        <v>-7140</v>
      </c>
      <c r="P9" s="133">
        <v>2209</v>
      </c>
      <c r="Q9" s="133">
        <v>-40505</v>
      </c>
      <c r="R9" s="122">
        <f>SUM(B9:Q9)</f>
        <v>-72931</v>
      </c>
      <c r="S9" s="136"/>
    </row>
    <row r="10" spans="1:20" ht="27" customHeight="1">
      <c r="A10" s="134" t="s">
        <v>61</v>
      </c>
      <c r="B10" s="133">
        <v>134167</v>
      </c>
      <c r="C10" s="133">
        <v>0</v>
      </c>
      <c r="D10" s="133">
        <v>98179</v>
      </c>
      <c r="E10" s="133">
        <v>45064</v>
      </c>
      <c r="F10" s="133">
        <v>8452</v>
      </c>
      <c r="G10" s="133">
        <v>56687</v>
      </c>
      <c r="H10" s="133">
        <v>0</v>
      </c>
      <c r="I10" s="133">
        <v>183926</v>
      </c>
      <c r="J10" s="133">
        <v>100176</v>
      </c>
      <c r="K10" s="133">
        <v>178293</v>
      </c>
      <c r="L10" s="133">
        <v>310505</v>
      </c>
      <c r="M10" s="133">
        <v>124507</v>
      </c>
      <c r="N10" s="133">
        <v>78486</v>
      </c>
      <c r="O10" s="133">
        <v>106957</v>
      </c>
      <c r="P10" s="133">
        <v>71078</v>
      </c>
      <c r="Q10" s="133">
        <v>306630</v>
      </c>
      <c r="R10" s="122">
        <f>SUM(B10:Q10)</f>
        <v>1803107</v>
      </c>
    </row>
    <row r="11" spans="1:20" ht="24" customHeight="1">
      <c r="A11" s="123" t="s">
        <v>62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22"/>
    </row>
    <row r="12" spans="1:20" ht="27" customHeight="1">
      <c r="A12" s="134" t="s">
        <v>63</v>
      </c>
      <c r="B12" s="133">
        <v>86775</v>
      </c>
      <c r="C12" s="133">
        <v>0</v>
      </c>
      <c r="D12" s="133">
        <v>85533</v>
      </c>
      <c r="E12" s="133">
        <v>18042</v>
      </c>
      <c r="F12" s="133">
        <v>4811</v>
      </c>
      <c r="G12" s="133">
        <v>33822</v>
      </c>
      <c r="H12" s="133">
        <v>1656</v>
      </c>
      <c r="I12" s="133">
        <v>122994</v>
      </c>
      <c r="J12" s="133">
        <v>70472</v>
      </c>
      <c r="K12" s="133">
        <v>120432</v>
      </c>
      <c r="L12" s="133">
        <v>239249</v>
      </c>
      <c r="M12" s="133">
        <v>64282</v>
      </c>
      <c r="N12" s="133">
        <v>60455</v>
      </c>
      <c r="O12" s="133">
        <v>95931</v>
      </c>
      <c r="P12" s="133">
        <v>63215</v>
      </c>
      <c r="Q12" s="133">
        <v>209541</v>
      </c>
      <c r="R12" s="122">
        <f>SUM(B12:Q12)</f>
        <v>1277210</v>
      </c>
      <c r="T12" s="136"/>
    </row>
    <row r="13" spans="1:20" ht="27" customHeight="1">
      <c r="A13" s="134" t="s">
        <v>64</v>
      </c>
      <c r="B13" s="133">
        <v>5322</v>
      </c>
      <c r="C13" s="133">
        <v>0</v>
      </c>
      <c r="D13" s="133">
        <v>-6440</v>
      </c>
      <c r="E13" s="133">
        <v>15586</v>
      </c>
      <c r="F13" s="133">
        <v>1801</v>
      </c>
      <c r="G13" s="133">
        <v>7813</v>
      </c>
      <c r="H13" s="133">
        <v>708</v>
      </c>
      <c r="I13" s="133">
        <v>13287</v>
      </c>
      <c r="J13" s="133">
        <v>-448</v>
      </c>
      <c r="K13" s="133">
        <v>-2088</v>
      </c>
      <c r="L13" s="133">
        <v>10969</v>
      </c>
      <c r="M13" s="133">
        <v>14606</v>
      </c>
      <c r="N13" s="133">
        <v>19672</v>
      </c>
      <c r="O13" s="133">
        <v>-10875</v>
      </c>
      <c r="P13" s="133">
        <v>-7255</v>
      </c>
      <c r="Q13" s="133">
        <v>28769</v>
      </c>
      <c r="R13" s="122">
        <f>SUM(B13:Q13)</f>
        <v>91427</v>
      </c>
    </row>
    <row r="14" spans="1:20" ht="27" customHeight="1">
      <c r="A14" s="134" t="s">
        <v>65</v>
      </c>
      <c r="B14" s="133">
        <v>92097</v>
      </c>
      <c r="C14" s="133">
        <v>0</v>
      </c>
      <c r="D14" s="133">
        <v>79093</v>
      </c>
      <c r="E14" s="133">
        <v>33628</v>
      </c>
      <c r="F14" s="133">
        <v>6612</v>
      </c>
      <c r="G14" s="133">
        <v>41635</v>
      </c>
      <c r="H14" s="133">
        <v>2364</v>
      </c>
      <c r="I14" s="133">
        <v>136281</v>
      </c>
      <c r="J14" s="133">
        <v>70024</v>
      </c>
      <c r="K14" s="133">
        <v>118344</v>
      </c>
      <c r="L14" s="133">
        <v>250218</v>
      </c>
      <c r="M14" s="133">
        <v>78888</v>
      </c>
      <c r="N14" s="133">
        <v>80127</v>
      </c>
      <c r="O14" s="133">
        <v>85056</v>
      </c>
      <c r="P14" s="133">
        <v>55960</v>
      </c>
      <c r="Q14" s="133">
        <v>238310</v>
      </c>
      <c r="R14" s="122">
        <f>SUM(B14:Q14)</f>
        <v>1368637</v>
      </c>
    </row>
    <row r="15" spans="1:20" ht="27.75" customHeight="1">
      <c r="A15" s="123" t="s">
        <v>66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22"/>
    </row>
    <row r="16" spans="1:20" ht="27.75" customHeight="1">
      <c r="A16" s="134" t="s">
        <v>67</v>
      </c>
      <c r="B16" s="133">
        <v>55194</v>
      </c>
      <c r="C16" s="133">
        <v>0</v>
      </c>
      <c r="D16" s="133">
        <v>711</v>
      </c>
      <c r="E16" s="133">
        <v>722</v>
      </c>
      <c r="F16" s="133">
        <v>297</v>
      </c>
      <c r="G16" s="133">
        <v>18816</v>
      </c>
      <c r="H16" s="133">
        <v>0</v>
      </c>
      <c r="I16" s="133">
        <v>25875</v>
      </c>
      <c r="J16" s="133">
        <v>4277</v>
      </c>
      <c r="K16" s="133">
        <v>40041</v>
      </c>
      <c r="L16" s="133">
        <v>16707</v>
      </c>
      <c r="M16" s="133">
        <v>10495</v>
      </c>
      <c r="N16" s="133">
        <v>2749</v>
      </c>
      <c r="O16" s="133">
        <v>28458</v>
      </c>
      <c r="P16" s="133">
        <v>7770</v>
      </c>
      <c r="Q16" s="133">
        <v>105931</v>
      </c>
      <c r="R16" s="122">
        <f>SUM(B16:Q16)</f>
        <v>318043</v>
      </c>
    </row>
    <row r="17" spans="1:21" ht="27.75" customHeight="1">
      <c r="A17" s="134" t="s">
        <v>68</v>
      </c>
      <c r="B17" s="133">
        <v>25718</v>
      </c>
      <c r="C17" s="133">
        <v>0</v>
      </c>
      <c r="D17" s="133">
        <v>14278</v>
      </c>
      <c r="E17" s="133">
        <v>4249</v>
      </c>
      <c r="F17" s="133">
        <v>254</v>
      </c>
      <c r="G17" s="133">
        <v>17042</v>
      </c>
      <c r="H17" s="133">
        <v>0</v>
      </c>
      <c r="I17" s="133">
        <v>27020</v>
      </c>
      <c r="J17" s="133">
        <v>15445</v>
      </c>
      <c r="K17" s="133">
        <v>35119</v>
      </c>
      <c r="L17" s="133">
        <v>38203</v>
      </c>
      <c r="M17" s="133">
        <v>29161</v>
      </c>
      <c r="N17" s="133">
        <v>8840</v>
      </c>
      <c r="O17" s="133">
        <v>12630</v>
      </c>
      <c r="P17" s="133">
        <v>8387</v>
      </c>
      <c r="Q17" s="133">
        <v>84079</v>
      </c>
      <c r="R17" s="122">
        <f>SUM(B17:Q17)</f>
        <v>320425</v>
      </c>
    </row>
    <row r="18" spans="1:21" ht="27.75" customHeight="1">
      <c r="A18" s="134" t="s">
        <v>88</v>
      </c>
      <c r="B18" s="133">
        <v>29476</v>
      </c>
      <c r="C18" s="133">
        <v>0</v>
      </c>
      <c r="D18" s="133">
        <v>-13567</v>
      </c>
      <c r="E18" s="133">
        <v>-3527</v>
      </c>
      <c r="F18" s="133">
        <v>43</v>
      </c>
      <c r="G18" s="133">
        <v>1774</v>
      </c>
      <c r="H18" s="133">
        <v>0</v>
      </c>
      <c r="I18" s="133">
        <v>-1145</v>
      </c>
      <c r="J18" s="133">
        <v>-11168</v>
      </c>
      <c r="K18" s="133">
        <v>4922</v>
      </c>
      <c r="L18" s="133">
        <v>-21496</v>
      </c>
      <c r="M18" s="133">
        <v>-18666</v>
      </c>
      <c r="N18" s="133">
        <v>-6091</v>
      </c>
      <c r="O18" s="133">
        <v>15828</v>
      </c>
      <c r="P18" s="133">
        <v>-617</v>
      </c>
      <c r="Q18" s="133">
        <v>21852</v>
      </c>
      <c r="R18" s="122">
        <f>SUM(B18:Q18)</f>
        <v>-2382</v>
      </c>
    </row>
    <row r="19" spans="1:21" ht="24" customHeight="1">
      <c r="A19" s="123" t="s">
        <v>70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22"/>
    </row>
    <row r="20" spans="1:21" ht="25.5" customHeight="1">
      <c r="A20" s="134" t="s">
        <v>71</v>
      </c>
      <c r="B20" s="133">
        <v>37447</v>
      </c>
      <c r="C20" s="133">
        <v>0</v>
      </c>
      <c r="D20" s="133">
        <v>12792</v>
      </c>
      <c r="E20" s="133">
        <v>3316</v>
      </c>
      <c r="F20" s="133">
        <v>1969</v>
      </c>
      <c r="G20" s="133">
        <v>9413</v>
      </c>
      <c r="H20" s="133">
        <v>971</v>
      </c>
      <c r="I20" s="133">
        <v>27486</v>
      </c>
      <c r="J20" s="133">
        <v>9318</v>
      </c>
      <c r="K20" s="133">
        <v>23495</v>
      </c>
      <c r="L20" s="133">
        <v>30782</v>
      </c>
      <c r="M20" s="133">
        <v>5314</v>
      </c>
      <c r="N20" s="133">
        <v>12644</v>
      </c>
      <c r="O20" s="133">
        <v>111162</v>
      </c>
      <c r="P20" s="133">
        <v>13965</v>
      </c>
      <c r="Q20" s="133">
        <v>93609</v>
      </c>
      <c r="R20" s="122">
        <f t="shared" ref="R20:R34" si="0">SUM(B20:Q20)</f>
        <v>393683</v>
      </c>
    </row>
    <row r="21" spans="1:21" ht="25.5" customHeight="1">
      <c r="A21" s="134" t="s">
        <v>72</v>
      </c>
      <c r="B21" s="133">
        <v>0</v>
      </c>
      <c r="C21" s="133">
        <v>0</v>
      </c>
      <c r="D21" s="133">
        <v>0</v>
      </c>
      <c r="E21" s="133">
        <v>3569</v>
      </c>
      <c r="F21" s="133">
        <v>70</v>
      </c>
      <c r="G21" s="133">
        <v>644</v>
      </c>
      <c r="H21" s="133">
        <v>0</v>
      </c>
      <c r="I21" s="133"/>
      <c r="J21" s="133">
        <v>2512</v>
      </c>
      <c r="K21" s="133">
        <v>272</v>
      </c>
      <c r="L21" s="133">
        <v>773</v>
      </c>
      <c r="M21" s="133">
        <v>0</v>
      </c>
      <c r="N21" s="133">
        <v>2574</v>
      </c>
      <c r="O21" s="133">
        <v>876</v>
      </c>
      <c r="P21" s="133">
        <v>2588</v>
      </c>
      <c r="Q21" s="133">
        <v>1136</v>
      </c>
      <c r="R21" s="122">
        <f t="shared" si="0"/>
        <v>15014</v>
      </c>
    </row>
    <row r="22" spans="1:21" ht="25.5" customHeight="1">
      <c r="A22" s="134" t="s">
        <v>73</v>
      </c>
      <c r="B22" s="133">
        <v>0</v>
      </c>
      <c r="C22" s="133">
        <v>0</v>
      </c>
      <c r="D22" s="133">
        <v>9846</v>
      </c>
      <c r="E22" s="133">
        <v>3697</v>
      </c>
      <c r="F22" s="133">
        <v>955</v>
      </c>
      <c r="G22" s="133">
        <v>2725</v>
      </c>
      <c r="H22" s="133">
        <v>1261</v>
      </c>
      <c r="I22" s="133">
        <v>17840</v>
      </c>
      <c r="J22" s="133">
        <v>9408</v>
      </c>
      <c r="K22" s="133">
        <v>15006</v>
      </c>
      <c r="L22" s="133"/>
      <c r="M22" s="133">
        <v>10359</v>
      </c>
      <c r="N22" s="133">
        <v>5990</v>
      </c>
      <c r="O22" s="133">
        <v>21038</v>
      </c>
      <c r="P22" s="133">
        <v>2262</v>
      </c>
      <c r="Q22" s="133">
        <v>22263</v>
      </c>
      <c r="R22" s="122">
        <f t="shared" si="0"/>
        <v>122650</v>
      </c>
    </row>
    <row r="23" spans="1:21" ht="25.5" customHeight="1">
      <c r="A23" s="134" t="s">
        <v>74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22">
        <f t="shared" si="0"/>
        <v>0</v>
      </c>
    </row>
    <row r="24" spans="1:21" ht="25.5" customHeight="1">
      <c r="A24" s="134" t="s">
        <v>75</v>
      </c>
      <c r="B24" s="133">
        <v>218</v>
      </c>
      <c r="C24" s="133">
        <v>0</v>
      </c>
      <c r="D24" s="133">
        <v>444</v>
      </c>
      <c r="E24" s="133">
        <v>83</v>
      </c>
      <c r="F24" s="133">
        <v>72</v>
      </c>
      <c r="G24" s="133">
        <v>305</v>
      </c>
      <c r="H24" s="133">
        <v>50</v>
      </c>
      <c r="I24" s="133">
        <v>530</v>
      </c>
      <c r="J24" s="133">
        <v>84</v>
      </c>
      <c r="K24" s="133">
        <v>129</v>
      </c>
      <c r="L24" s="133">
        <v>262</v>
      </c>
      <c r="M24" s="133">
        <v>92</v>
      </c>
      <c r="N24" s="133">
        <v>291</v>
      </c>
      <c r="O24" s="133">
        <v>584</v>
      </c>
      <c r="P24" s="133">
        <v>241</v>
      </c>
      <c r="Q24" s="133">
        <v>917</v>
      </c>
      <c r="R24" s="122">
        <f t="shared" si="0"/>
        <v>4302</v>
      </c>
    </row>
    <row r="25" spans="1:21" ht="25.5" customHeight="1">
      <c r="A25" s="134" t="s">
        <v>76</v>
      </c>
      <c r="B25" s="133">
        <v>0</v>
      </c>
      <c r="C25" s="133">
        <v>0</v>
      </c>
      <c r="D25" s="133">
        <v>197</v>
      </c>
      <c r="E25" s="133">
        <v>15</v>
      </c>
      <c r="F25" s="133">
        <v>17</v>
      </c>
      <c r="G25" s="133">
        <v>0</v>
      </c>
      <c r="H25" s="133"/>
      <c r="I25" s="133">
        <v>870</v>
      </c>
      <c r="J25" s="133">
        <v>128</v>
      </c>
      <c r="K25" s="133">
        <v>45</v>
      </c>
      <c r="L25" s="133">
        <v>39</v>
      </c>
      <c r="M25" s="133">
        <v>16</v>
      </c>
      <c r="N25" s="133">
        <v>355</v>
      </c>
      <c r="O25" s="133">
        <v>600</v>
      </c>
      <c r="P25" s="133">
        <v>87</v>
      </c>
      <c r="Q25" s="133">
        <v>53</v>
      </c>
      <c r="R25" s="122">
        <f t="shared" si="0"/>
        <v>2422</v>
      </c>
    </row>
    <row r="26" spans="1:21" ht="25.5" customHeight="1">
      <c r="A26" s="134" t="s">
        <v>77</v>
      </c>
      <c r="B26" s="133">
        <v>0</v>
      </c>
      <c r="C26" s="133">
        <v>0</v>
      </c>
      <c r="D26" s="133"/>
      <c r="E26" s="133"/>
      <c r="F26" s="133">
        <v>0</v>
      </c>
      <c r="G26" s="133">
        <v>58</v>
      </c>
      <c r="H26" s="133"/>
      <c r="I26" s="133">
        <v>137</v>
      </c>
      <c r="J26" s="133">
        <v>8</v>
      </c>
      <c r="K26" s="133"/>
      <c r="L26" s="133">
        <v>0</v>
      </c>
      <c r="M26" s="133">
        <v>0</v>
      </c>
      <c r="N26" s="133"/>
      <c r="O26" s="133">
        <v>9</v>
      </c>
      <c r="P26" s="137">
        <v>0</v>
      </c>
      <c r="Q26" s="133">
        <v>400</v>
      </c>
      <c r="R26" s="122">
        <f t="shared" si="0"/>
        <v>612</v>
      </c>
    </row>
    <row r="27" spans="1:21" ht="25.5" customHeight="1">
      <c r="A27" s="134" t="s">
        <v>78</v>
      </c>
      <c r="B27" s="133">
        <v>0</v>
      </c>
      <c r="C27" s="133">
        <v>0</v>
      </c>
      <c r="D27" s="133"/>
      <c r="E27" s="133">
        <v>20</v>
      </c>
      <c r="F27" s="133">
        <v>123</v>
      </c>
      <c r="G27" s="133">
        <v>779</v>
      </c>
      <c r="H27" s="133">
        <v>49</v>
      </c>
      <c r="I27" s="133">
        <v>1316</v>
      </c>
      <c r="J27" s="133">
        <v>449</v>
      </c>
      <c r="K27" s="133">
        <v>1812</v>
      </c>
      <c r="L27" s="133">
        <v>70586</v>
      </c>
      <c r="M27" s="133">
        <v>14</v>
      </c>
      <c r="N27" s="133">
        <v>671</v>
      </c>
      <c r="O27" s="133">
        <v>2066</v>
      </c>
      <c r="P27" s="133">
        <v>842</v>
      </c>
      <c r="Q27" s="133">
        <v>2767</v>
      </c>
      <c r="R27" s="122">
        <f t="shared" si="0"/>
        <v>81494</v>
      </c>
    </row>
    <row r="28" spans="1:21" ht="25.5" customHeight="1">
      <c r="A28" s="134" t="s">
        <v>79</v>
      </c>
      <c r="B28" s="133">
        <v>1388</v>
      </c>
      <c r="C28" s="133">
        <v>0</v>
      </c>
      <c r="D28" s="133">
        <v>311</v>
      </c>
      <c r="E28" s="133">
        <v>22</v>
      </c>
      <c r="F28" s="133">
        <v>130</v>
      </c>
      <c r="G28" s="133">
        <v>396</v>
      </c>
      <c r="H28" s="133">
        <v>78</v>
      </c>
      <c r="I28" s="133">
        <v>1194</v>
      </c>
      <c r="J28" s="133">
        <v>296</v>
      </c>
      <c r="K28" s="133">
        <v>2326</v>
      </c>
      <c r="L28" s="133">
        <v>3014</v>
      </c>
      <c r="M28" s="133">
        <v>0</v>
      </c>
      <c r="N28" s="133">
        <v>147</v>
      </c>
      <c r="O28" s="133">
        <v>6577</v>
      </c>
      <c r="P28" s="133">
        <v>243</v>
      </c>
      <c r="Q28" s="133">
        <v>1200</v>
      </c>
      <c r="R28" s="122">
        <f t="shared" si="0"/>
        <v>17322</v>
      </c>
    </row>
    <row r="29" spans="1:21" ht="25.5" customHeight="1">
      <c r="A29" s="134" t="s">
        <v>80</v>
      </c>
      <c r="B29" s="133">
        <v>1487</v>
      </c>
      <c r="C29" s="133">
        <v>0</v>
      </c>
      <c r="D29" s="133">
        <v>940</v>
      </c>
      <c r="E29" s="133">
        <v>348</v>
      </c>
      <c r="F29" s="133">
        <v>90</v>
      </c>
      <c r="G29" s="133">
        <v>635</v>
      </c>
      <c r="H29" s="133"/>
      <c r="I29" s="133">
        <v>2194</v>
      </c>
      <c r="J29" s="133">
        <v>1469</v>
      </c>
      <c r="K29" s="133">
        <v>2560</v>
      </c>
      <c r="L29" s="133">
        <v>1619</v>
      </c>
      <c r="M29" s="133">
        <v>347</v>
      </c>
      <c r="N29" s="133">
        <v>842</v>
      </c>
      <c r="O29" s="133">
        <v>316</v>
      </c>
      <c r="P29" s="133">
        <v>684</v>
      </c>
      <c r="Q29" s="133">
        <v>4213</v>
      </c>
      <c r="R29" s="122">
        <f t="shared" si="0"/>
        <v>17744</v>
      </c>
    </row>
    <row r="30" spans="1:21" ht="25.5" customHeight="1">
      <c r="A30" s="134" t="s">
        <v>78</v>
      </c>
      <c r="B30" s="133">
        <v>16677</v>
      </c>
      <c r="C30" s="133">
        <v>0</v>
      </c>
      <c r="D30" s="133"/>
      <c r="E30" s="133"/>
      <c r="F30" s="133"/>
      <c r="G30" s="133"/>
      <c r="H30" s="133"/>
      <c r="I30" s="133">
        <v>5144</v>
      </c>
      <c r="J30" s="133"/>
      <c r="K30" s="133"/>
      <c r="L30" s="133">
        <v>22212</v>
      </c>
      <c r="M30" s="133"/>
      <c r="N30" s="133"/>
      <c r="O30" s="133">
        <v>0</v>
      </c>
      <c r="P30" s="133">
        <v>0</v>
      </c>
      <c r="Q30" s="133">
        <v>0</v>
      </c>
      <c r="R30" s="122">
        <f t="shared" si="0"/>
        <v>44033</v>
      </c>
    </row>
    <row r="31" spans="1:21" ht="24.75" customHeight="1">
      <c r="A31" s="134" t="s">
        <v>81</v>
      </c>
      <c r="B31" s="133">
        <v>57217</v>
      </c>
      <c r="C31" s="133">
        <v>0</v>
      </c>
      <c r="D31" s="133">
        <v>24530</v>
      </c>
      <c r="E31" s="133">
        <v>11070</v>
      </c>
      <c r="F31" s="133">
        <v>3426</v>
      </c>
      <c r="G31" s="133">
        <v>14955</v>
      </c>
      <c r="H31" s="133">
        <v>2409</v>
      </c>
      <c r="I31" s="133">
        <v>56711</v>
      </c>
      <c r="J31" s="133">
        <v>23672</v>
      </c>
      <c r="K31" s="133">
        <v>45645</v>
      </c>
      <c r="L31" s="133">
        <v>129287</v>
      </c>
      <c r="M31" s="133">
        <v>16142</v>
      </c>
      <c r="N31" s="133">
        <v>23514</v>
      </c>
      <c r="O31" s="133">
        <v>143228</v>
      </c>
      <c r="P31" s="133">
        <v>20912</v>
      </c>
      <c r="Q31" s="133">
        <v>126558</v>
      </c>
      <c r="R31" s="122">
        <f t="shared" si="0"/>
        <v>699276</v>
      </c>
      <c r="T31" s="136"/>
      <c r="U31" s="136"/>
    </row>
    <row r="32" spans="1:21" ht="23.25" customHeight="1">
      <c r="A32" s="123" t="s">
        <v>90</v>
      </c>
      <c r="B32" s="133">
        <v>14329</v>
      </c>
      <c r="C32" s="133">
        <v>0</v>
      </c>
      <c r="D32" s="133">
        <v>-19011</v>
      </c>
      <c r="E32" s="133">
        <v>-3161</v>
      </c>
      <c r="F32" s="133">
        <v>-1543</v>
      </c>
      <c r="G32" s="133">
        <v>1871</v>
      </c>
      <c r="H32" s="133">
        <v>-4773</v>
      </c>
      <c r="I32" s="133">
        <v>-10211</v>
      </c>
      <c r="J32" s="133">
        <v>-4688</v>
      </c>
      <c r="K32" s="133">
        <v>19226</v>
      </c>
      <c r="L32" s="133">
        <v>-90496</v>
      </c>
      <c r="M32" s="133">
        <v>10811</v>
      </c>
      <c r="N32" s="133">
        <v>-31246</v>
      </c>
      <c r="O32" s="133">
        <v>-105499</v>
      </c>
      <c r="P32" s="133">
        <v>-6411</v>
      </c>
      <c r="Q32" s="133">
        <v>-36386</v>
      </c>
      <c r="R32" s="122">
        <f t="shared" si="0"/>
        <v>-267188</v>
      </c>
    </row>
    <row r="33" spans="1:20" ht="34.5" customHeight="1">
      <c r="A33" s="123" t="s">
        <v>83</v>
      </c>
      <c r="B33" s="133">
        <v>9460</v>
      </c>
      <c r="C33" s="133">
        <v>0</v>
      </c>
      <c r="D33" s="133">
        <v>1465</v>
      </c>
      <c r="E33" s="133">
        <v>4797</v>
      </c>
      <c r="F33" s="133">
        <v>6121</v>
      </c>
      <c r="G33" s="133">
        <v>7412</v>
      </c>
      <c r="H33" s="133">
        <v>3132</v>
      </c>
      <c r="I33" s="133">
        <v>29218</v>
      </c>
      <c r="J33" s="133">
        <v>3601</v>
      </c>
      <c r="K33" s="133">
        <v>10330</v>
      </c>
      <c r="L33" s="133">
        <v>143155</v>
      </c>
      <c r="M33" s="133">
        <v>17584</v>
      </c>
      <c r="N33" s="133">
        <v>903</v>
      </c>
      <c r="O33" s="133">
        <v>137807</v>
      </c>
      <c r="P33" s="133">
        <v>16172</v>
      </c>
      <c r="Q33" s="133">
        <v>59370</v>
      </c>
      <c r="R33" s="122">
        <f t="shared" si="0"/>
        <v>450527</v>
      </c>
      <c r="T33" s="136"/>
    </row>
    <row r="34" spans="1:20" ht="45" customHeight="1">
      <c r="A34" s="123" t="s">
        <v>84</v>
      </c>
      <c r="B34" s="133">
        <v>23789</v>
      </c>
      <c r="C34" s="133">
        <v>0</v>
      </c>
      <c r="D34" s="133">
        <v>-17546</v>
      </c>
      <c r="E34" s="133">
        <v>1636</v>
      </c>
      <c r="F34" s="133">
        <v>4578</v>
      </c>
      <c r="G34" s="133">
        <v>9283</v>
      </c>
      <c r="H34" s="133">
        <v>-1641</v>
      </c>
      <c r="I34" s="133">
        <v>19007</v>
      </c>
      <c r="J34" s="133">
        <v>-1087</v>
      </c>
      <c r="K34" s="133">
        <v>29556</v>
      </c>
      <c r="L34" s="133">
        <v>52659</v>
      </c>
      <c r="M34" s="133">
        <v>28395</v>
      </c>
      <c r="N34" s="133">
        <v>-30343</v>
      </c>
      <c r="O34" s="133">
        <v>32308</v>
      </c>
      <c r="P34" s="133">
        <v>9761</v>
      </c>
      <c r="Q34" s="133">
        <v>22984</v>
      </c>
      <c r="R34" s="122">
        <f t="shared" si="0"/>
        <v>183339</v>
      </c>
      <c r="T34" s="136"/>
    </row>
    <row r="36" spans="1:20">
      <c r="P36" s="128"/>
    </row>
    <row r="37" spans="1:20">
      <c r="B37" s="138"/>
      <c r="D37" s="138"/>
      <c r="I37" s="138"/>
      <c r="J37" s="138"/>
      <c r="M37" s="138"/>
      <c r="N37" s="138"/>
    </row>
  </sheetData>
  <mergeCells count="2">
    <mergeCell ref="A2:R2"/>
    <mergeCell ref="A3:R3"/>
  </mergeCells>
  <phoneticPr fontId="15" type="noConversion"/>
  <printOptions horizontalCentered="1"/>
  <pageMargins left="0.5" right="0.5" top="0.25" bottom="0.25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U38"/>
  <sheetViews>
    <sheetView zoomScaleNormal="75" workbookViewId="0">
      <pane xSplit="1" ySplit="6" topLeftCell="O31" activePane="bottomRight" state="frozen"/>
      <selection pane="topRight" activeCell="B1" sqref="B1"/>
      <selection pane="bottomLeft" activeCell="A7" sqref="A7"/>
      <selection pane="bottomRight" activeCell="S32" sqref="S32"/>
    </sheetView>
  </sheetViews>
  <sheetFormatPr defaultRowHeight="12.75"/>
  <cols>
    <col min="1" max="1" width="32.5703125" style="139" bestFit="1" customWidth="1"/>
    <col min="2" max="2" width="14.7109375" style="140" bestFit="1" customWidth="1"/>
    <col min="3" max="3" width="8.28515625" style="140" customWidth="1"/>
    <col min="4" max="4" width="12.28515625" style="140" customWidth="1"/>
    <col min="5" max="5" width="8.5703125" style="140" bestFit="1" customWidth="1"/>
    <col min="6" max="6" width="8.42578125" style="140" bestFit="1" customWidth="1"/>
    <col min="7" max="7" width="11.85546875" style="140" customWidth="1"/>
    <col min="8" max="8" width="10.140625" style="140" customWidth="1"/>
    <col min="9" max="9" width="12.85546875" style="140" customWidth="1"/>
    <col min="10" max="10" width="9.28515625" style="140" bestFit="1" customWidth="1"/>
    <col min="11" max="11" width="9.28515625" style="140" customWidth="1"/>
    <col min="12" max="12" width="10" style="140" bestFit="1" customWidth="1"/>
    <col min="13" max="13" width="9.28515625" style="140" bestFit="1" customWidth="1"/>
    <col min="14" max="14" width="11.42578125" style="140" customWidth="1"/>
    <col min="15" max="15" width="8.5703125" style="140" bestFit="1" customWidth="1"/>
    <col min="16" max="16" width="9.140625" style="139" bestFit="1"/>
    <col min="17" max="17" width="9.28515625" style="140" bestFit="1" customWidth="1"/>
    <col min="18" max="18" width="19.140625" style="141" bestFit="1" customWidth="1"/>
    <col min="19" max="19" width="9.7109375" style="139" bestFit="1" customWidth="1"/>
    <col min="20" max="16384" width="9.140625" style="139"/>
  </cols>
  <sheetData>
    <row r="1" spans="1:20">
      <c r="R1" s="141" t="s">
        <v>48</v>
      </c>
    </row>
    <row r="2" spans="1:20">
      <c r="A2" s="153" t="s">
        <v>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20">
      <c r="A3" s="153" t="s">
        <v>50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20">
      <c r="R4" s="142" t="s">
        <v>51</v>
      </c>
    </row>
    <row r="5" spans="1:20" ht="14.25" customHeight="1">
      <c r="A5" s="143"/>
      <c r="R5" s="139"/>
    </row>
    <row r="6" spans="1:20" s="146" customFormat="1" ht="47.25" customHeight="1">
      <c r="A6" s="144"/>
      <c r="B6" s="145" t="s">
        <v>17</v>
      </c>
      <c r="C6" s="145" t="s">
        <v>18</v>
      </c>
      <c r="D6" s="145" t="s">
        <v>52</v>
      </c>
      <c r="E6" s="145" t="s">
        <v>19</v>
      </c>
      <c r="F6" s="145" t="s">
        <v>20</v>
      </c>
      <c r="G6" s="145" t="s">
        <v>53</v>
      </c>
      <c r="H6" s="145" t="s">
        <v>22</v>
      </c>
      <c r="I6" s="145" t="s">
        <v>54</v>
      </c>
      <c r="J6" s="145" t="s">
        <v>24</v>
      </c>
      <c r="K6" s="145" t="s">
        <v>55</v>
      </c>
      <c r="L6" s="145" t="s">
        <v>56</v>
      </c>
      <c r="M6" s="145" t="s">
        <v>44</v>
      </c>
      <c r="N6" s="145" t="s">
        <v>28</v>
      </c>
      <c r="O6" s="145" t="s">
        <v>30</v>
      </c>
      <c r="P6" s="145" t="s">
        <v>32</v>
      </c>
      <c r="Q6" s="145" t="s">
        <v>33</v>
      </c>
      <c r="R6" s="145" t="s">
        <v>57</v>
      </c>
    </row>
    <row r="7" spans="1:20" ht="27.75" customHeight="1">
      <c r="A7" s="144" t="s">
        <v>58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1:20" ht="27.75" customHeight="1">
      <c r="A8" s="149" t="s">
        <v>59</v>
      </c>
      <c r="B8" s="147">
        <v>128449</v>
      </c>
      <c r="C8" s="147">
        <v>0</v>
      </c>
      <c r="D8" s="147">
        <v>125527.626</v>
      </c>
      <c r="E8" s="147">
        <v>38536.947</v>
      </c>
      <c r="F8" s="147">
        <v>6191.9080000000004</v>
      </c>
      <c r="G8" s="147">
        <v>54637.324000000001</v>
      </c>
      <c r="H8" s="147">
        <v>0</v>
      </c>
      <c r="I8" s="147">
        <v>173618.96900000001</v>
      </c>
      <c r="J8" s="147">
        <v>82932.256999999998</v>
      </c>
      <c r="K8" s="147">
        <v>174121.639</v>
      </c>
      <c r="L8" s="147">
        <v>299384.93800000002</v>
      </c>
      <c r="M8" s="147">
        <v>114521.984</v>
      </c>
      <c r="N8" s="147">
        <v>70430.909</v>
      </c>
      <c r="O8" s="147">
        <v>99261.633000000002</v>
      </c>
      <c r="P8" s="147">
        <v>73287.019</v>
      </c>
      <c r="Q8" s="147">
        <v>262448</v>
      </c>
      <c r="R8" s="148">
        <f>SUM(B8:Q8)</f>
        <v>1703350.1529999999</v>
      </c>
    </row>
    <row r="9" spans="1:20" ht="27.75" customHeight="1">
      <c r="A9" s="149" t="s">
        <v>60</v>
      </c>
      <c r="B9" s="147">
        <v>-5965</v>
      </c>
      <c r="C9" s="147">
        <v>0</v>
      </c>
      <c r="D9" s="147">
        <v>-3987.058</v>
      </c>
      <c r="E9" s="147">
        <v>-2232.8510000000001</v>
      </c>
      <c r="F9" s="147">
        <v>430.38</v>
      </c>
      <c r="G9" s="147">
        <v>1678.0139999999999</v>
      </c>
      <c r="H9" s="147">
        <v>2249</v>
      </c>
      <c r="I9" s="147">
        <v>-9013.1550000000007</v>
      </c>
      <c r="J9" s="147">
        <v>-1608.5329999999999</v>
      </c>
      <c r="K9" s="147">
        <v>9542.2350000000006</v>
      </c>
      <c r="L9" s="147">
        <v>-8189.0640000000003</v>
      </c>
      <c r="M9" s="147">
        <v>-9092.232</v>
      </c>
      <c r="N9" s="147">
        <v>-3304.1860000000001</v>
      </c>
      <c r="O9" s="147">
        <v>-4565.2960000000003</v>
      </c>
      <c r="P9" s="147">
        <v>-1379.9829999999999</v>
      </c>
      <c r="Q9" s="147">
        <v>-25980</v>
      </c>
      <c r="R9" s="148">
        <f>SUM(B9:Q9)</f>
        <v>-61417.729000000007</v>
      </c>
      <c r="S9" s="150"/>
    </row>
    <row r="10" spans="1:20" ht="27.75" customHeight="1">
      <c r="A10" s="149" t="s">
        <v>61</v>
      </c>
      <c r="B10" s="147">
        <f>B8+B9</f>
        <v>122484</v>
      </c>
      <c r="C10" s="147">
        <f t="shared" ref="C10:Q10" si="0">C8+C9</f>
        <v>0</v>
      </c>
      <c r="D10" s="147">
        <f t="shared" si="0"/>
        <v>121540.568</v>
      </c>
      <c r="E10" s="147">
        <f t="shared" si="0"/>
        <v>36304.095999999998</v>
      </c>
      <c r="F10" s="147">
        <f t="shared" si="0"/>
        <v>6622.2880000000005</v>
      </c>
      <c r="G10" s="147">
        <f t="shared" si="0"/>
        <v>56315.338000000003</v>
      </c>
      <c r="H10" s="147">
        <f t="shared" si="0"/>
        <v>2249</v>
      </c>
      <c r="I10" s="147">
        <f t="shared" si="0"/>
        <v>164605.81400000001</v>
      </c>
      <c r="J10" s="147">
        <f t="shared" si="0"/>
        <v>81323.724000000002</v>
      </c>
      <c r="K10" s="147">
        <f t="shared" si="0"/>
        <v>183663.87400000001</v>
      </c>
      <c r="L10" s="147">
        <f t="shared" si="0"/>
        <v>291195.87400000001</v>
      </c>
      <c r="M10" s="147">
        <f t="shared" si="0"/>
        <v>105429.75199999999</v>
      </c>
      <c r="N10" s="147">
        <f t="shared" si="0"/>
        <v>67126.722999999998</v>
      </c>
      <c r="O10" s="147">
        <f t="shared" si="0"/>
        <v>94696.337</v>
      </c>
      <c r="P10" s="147">
        <f t="shared" si="0"/>
        <v>71907.036000000007</v>
      </c>
      <c r="Q10" s="147">
        <f t="shared" si="0"/>
        <v>236468</v>
      </c>
      <c r="R10" s="148">
        <f>SUM(B10:Q10)</f>
        <v>1641932.4240000003</v>
      </c>
    </row>
    <row r="11" spans="1:20" ht="27.75" customHeight="1">
      <c r="A11" s="144" t="s">
        <v>62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</row>
    <row r="12" spans="1:20" ht="27.75" customHeight="1">
      <c r="A12" s="149" t="s">
        <v>63</v>
      </c>
      <c r="B12" s="147">
        <v>79200</v>
      </c>
      <c r="C12" s="147">
        <v>0</v>
      </c>
      <c r="D12" s="147">
        <v>86426.558000000005</v>
      </c>
      <c r="E12" s="147">
        <v>20376.600999999999</v>
      </c>
      <c r="F12" s="147">
        <v>5169.3649999999998</v>
      </c>
      <c r="G12" s="147">
        <v>31029.350999999999</v>
      </c>
      <c r="H12" s="147">
        <v>-6051</v>
      </c>
      <c r="I12" s="147">
        <v>112867.359</v>
      </c>
      <c r="J12" s="147">
        <v>58472.326000000001</v>
      </c>
      <c r="K12" s="147">
        <v>120803.34699999999</v>
      </c>
      <c r="L12" s="147">
        <v>244113.33499999999</v>
      </c>
      <c r="M12" s="147">
        <v>81301.729000000007</v>
      </c>
      <c r="N12" s="147">
        <v>48969.642</v>
      </c>
      <c r="O12" s="147">
        <v>72423.173999999999</v>
      </c>
      <c r="P12" s="147">
        <v>61273.432999999997</v>
      </c>
      <c r="Q12" s="147">
        <v>154336</v>
      </c>
      <c r="R12" s="148">
        <f>SUM(B12:Q12)</f>
        <v>1170711.22</v>
      </c>
      <c r="T12" s="150"/>
    </row>
    <row r="13" spans="1:20" ht="27.75" customHeight="1">
      <c r="A13" s="149" t="s">
        <v>64</v>
      </c>
      <c r="B13" s="147">
        <v>-4376</v>
      </c>
      <c r="C13" s="147">
        <v>0</v>
      </c>
      <c r="D13" s="147">
        <v>-6473.0609999999997</v>
      </c>
      <c r="E13" s="147">
        <v>3627.3049999999998</v>
      </c>
      <c r="F13" s="147">
        <v>473.892</v>
      </c>
      <c r="G13" s="147">
        <v>9374.9220000000005</v>
      </c>
      <c r="H13" s="147">
        <v>3934</v>
      </c>
      <c r="I13" s="147">
        <v>7263.39</v>
      </c>
      <c r="J13" s="147">
        <v>1918.597</v>
      </c>
      <c r="K13" s="147">
        <v>5946.0349999999999</v>
      </c>
      <c r="L13" s="147">
        <v>11210.432000000001</v>
      </c>
      <c r="M13" s="147">
        <v>-7072.1229999999996</v>
      </c>
      <c r="N13" s="147">
        <v>-1726.8530000000001</v>
      </c>
      <c r="O13" s="147">
        <v>-11274.925999999999</v>
      </c>
      <c r="P13" s="147">
        <v>-2744.5949999999998</v>
      </c>
      <c r="Q13" s="147">
        <v>-7163</v>
      </c>
      <c r="R13" s="148">
        <f>SUM(B13:Q13)</f>
        <v>2918.0150000000049</v>
      </c>
    </row>
    <row r="14" spans="1:20" ht="27.75" customHeight="1">
      <c r="A14" s="149" t="s">
        <v>65</v>
      </c>
      <c r="B14" s="147">
        <f t="shared" ref="B14:I14" si="1">B12+B13</f>
        <v>74824</v>
      </c>
      <c r="C14" s="147">
        <f t="shared" si="1"/>
        <v>0</v>
      </c>
      <c r="D14" s="147">
        <f t="shared" si="1"/>
        <v>79953.497000000003</v>
      </c>
      <c r="E14" s="147">
        <f t="shared" si="1"/>
        <v>24003.905999999999</v>
      </c>
      <c r="F14" s="147">
        <f t="shared" si="1"/>
        <v>5643.2569999999996</v>
      </c>
      <c r="G14" s="147">
        <f t="shared" si="1"/>
        <v>40404.273000000001</v>
      </c>
      <c r="H14" s="147">
        <f t="shared" si="1"/>
        <v>-2117</v>
      </c>
      <c r="I14" s="147">
        <f t="shared" si="1"/>
        <v>120130.749</v>
      </c>
      <c r="J14" s="147">
        <f t="shared" ref="J14:Q14" si="2">J12+J13</f>
        <v>60390.923000000003</v>
      </c>
      <c r="K14" s="147">
        <f t="shared" si="2"/>
        <v>126749.382</v>
      </c>
      <c r="L14" s="147">
        <f t="shared" si="2"/>
        <v>255323.76699999999</v>
      </c>
      <c r="M14" s="147">
        <f t="shared" si="2"/>
        <v>74229.606</v>
      </c>
      <c r="N14" s="147">
        <f t="shared" si="2"/>
        <v>47242.788999999997</v>
      </c>
      <c r="O14" s="147">
        <f t="shared" si="2"/>
        <v>61148.248</v>
      </c>
      <c r="P14" s="147">
        <f t="shared" si="2"/>
        <v>58528.837999999996</v>
      </c>
      <c r="Q14" s="147">
        <f t="shared" si="2"/>
        <v>147173</v>
      </c>
      <c r="R14" s="148">
        <f>SUM(B14:Q14)</f>
        <v>1173629.2350000001</v>
      </c>
    </row>
    <row r="15" spans="1:20" ht="27.75" customHeight="1">
      <c r="A15" s="144" t="s">
        <v>66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</row>
    <row r="16" spans="1:20" ht="27.75" customHeight="1">
      <c r="A16" s="149" t="s">
        <v>67</v>
      </c>
      <c r="B16" s="147">
        <v>55968</v>
      </c>
      <c r="C16" s="147">
        <v>0</v>
      </c>
      <c r="D16" s="147">
        <f>2488344/1000</f>
        <v>2488.3440000000001</v>
      </c>
      <c r="E16" s="147">
        <f>713210/1000</f>
        <v>713.21</v>
      </c>
      <c r="F16" s="147">
        <f>282338/1000</f>
        <v>282.33800000000002</v>
      </c>
      <c r="G16" s="147">
        <f>31348156/1000</f>
        <v>31348.155999999999</v>
      </c>
      <c r="H16" s="147">
        <v>-257</v>
      </c>
      <c r="I16" s="147">
        <f>15256493/1000</f>
        <v>15256.493</v>
      </c>
      <c r="J16" s="147">
        <f>4629251/1000</f>
        <v>4629.2510000000002</v>
      </c>
      <c r="K16" s="147">
        <f>33451636/1000</f>
        <v>33451.635999999999</v>
      </c>
      <c r="L16" s="147">
        <f>13499891/1000</f>
        <v>13499.891</v>
      </c>
      <c r="M16" s="147">
        <f>12554540/1000</f>
        <v>12554.54</v>
      </c>
      <c r="N16" s="147">
        <f>4018858/1000</f>
        <v>4018.8580000000002</v>
      </c>
      <c r="O16" s="147">
        <f>24242899/1000</f>
        <v>24242.899000000001</v>
      </c>
      <c r="P16" s="147">
        <f>9142995/1000</f>
        <v>9142.9950000000008</v>
      </c>
      <c r="Q16" s="147">
        <v>83504</v>
      </c>
      <c r="R16" s="148">
        <f>SUM(B16:Q16)</f>
        <v>290843.61100000003</v>
      </c>
    </row>
    <row r="17" spans="1:21" ht="27.75" customHeight="1">
      <c r="A17" s="149" t="s">
        <v>68</v>
      </c>
      <c r="B17" s="147">
        <v>-23195</v>
      </c>
      <c r="C17" s="147">
        <v>0</v>
      </c>
      <c r="D17" s="147">
        <f>-20138604/1000</f>
        <v>-20138.603999999999</v>
      </c>
      <c r="E17" s="147">
        <f>-3856751/1000</f>
        <v>-3856.7510000000002</v>
      </c>
      <c r="F17" s="147">
        <f>-127222/1000</f>
        <v>-127.22199999999999</v>
      </c>
      <c r="G17" s="147">
        <f>-24391225/1000</f>
        <v>-24391.224999999999</v>
      </c>
      <c r="H17" s="147">
        <v>1201</v>
      </c>
      <c r="I17" s="147">
        <f>-22619822/1000</f>
        <v>-22619.822</v>
      </c>
      <c r="J17" s="147">
        <f>-13194442/1000</f>
        <v>-13194.441999999999</v>
      </c>
      <c r="K17" s="147">
        <f>-29817777/1000</f>
        <v>-29817.776999999998</v>
      </c>
      <c r="L17" s="147">
        <f>-39579038/1000</f>
        <v>-39579.038</v>
      </c>
      <c r="M17" s="147">
        <f>-28116658/1000</f>
        <v>-28116.657999999999</v>
      </c>
      <c r="N17" s="147">
        <f>-6441859/1000</f>
        <v>-6441.8590000000004</v>
      </c>
      <c r="O17" s="147">
        <f>-6567800/1000</f>
        <v>-6567.8</v>
      </c>
      <c r="P17" s="147">
        <f>-9737404/1000</f>
        <v>-9737.4040000000005</v>
      </c>
      <c r="Q17" s="147">
        <v>-61194</v>
      </c>
      <c r="R17" s="148">
        <f>SUM(B17:Q17)</f>
        <v>-287776.60199999996</v>
      </c>
    </row>
    <row r="18" spans="1:21" ht="27.75" customHeight="1">
      <c r="A18" s="149" t="s">
        <v>69</v>
      </c>
      <c r="B18" s="147">
        <f t="shared" ref="B18:Q18" si="3">B16+B17</f>
        <v>32773</v>
      </c>
      <c r="C18" s="147">
        <f t="shared" si="3"/>
        <v>0</v>
      </c>
      <c r="D18" s="147">
        <f t="shared" si="3"/>
        <v>-17650.259999999998</v>
      </c>
      <c r="E18" s="147">
        <f t="shared" si="3"/>
        <v>-3143.5410000000002</v>
      </c>
      <c r="F18" s="147">
        <f t="shared" si="3"/>
        <v>155.11600000000004</v>
      </c>
      <c r="G18" s="147">
        <f t="shared" si="3"/>
        <v>6956.9310000000005</v>
      </c>
      <c r="H18" s="147">
        <f t="shared" si="3"/>
        <v>944</v>
      </c>
      <c r="I18" s="147">
        <f t="shared" si="3"/>
        <v>-7363.3289999999997</v>
      </c>
      <c r="J18" s="147">
        <f t="shared" si="3"/>
        <v>-8565.1909999999989</v>
      </c>
      <c r="K18" s="147">
        <f t="shared" si="3"/>
        <v>3633.8590000000004</v>
      </c>
      <c r="L18" s="147">
        <f t="shared" si="3"/>
        <v>-26079.147000000001</v>
      </c>
      <c r="M18" s="147">
        <f t="shared" si="3"/>
        <v>-15562.117999999999</v>
      </c>
      <c r="N18" s="147">
        <f t="shared" si="3"/>
        <v>-2423.0010000000002</v>
      </c>
      <c r="O18" s="147">
        <f t="shared" si="3"/>
        <v>17675.099000000002</v>
      </c>
      <c r="P18" s="147">
        <f t="shared" si="3"/>
        <v>-594.40899999999965</v>
      </c>
      <c r="Q18" s="147">
        <f t="shared" si="3"/>
        <v>22310</v>
      </c>
      <c r="R18" s="148">
        <f>SUM(B18:Q18)</f>
        <v>3067.0090000000055</v>
      </c>
    </row>
    <row r="19" spans="1:21" ht="27.75" customHeight="1">
      <c r="A19" s="144" t="s">
        <v>70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1:21" ht="27.75" customHeight="1">
      <c r="A20" s="149" t="s">
        <v>71</v>
      </c>
      <c r="B20" s="147">
        <v>33665</v>
      </c>
      <c r="C20" s="147">
        <v>0</v>
      </c>
      <c r="D20" s="147">
        <f>9807339/1000</f>
        <v>9807.3389999999999</v>
      </c>
      <c r="E20" s="147">
        <f>3548159/1000</f>
        <v>3548.1590000000001</v>
      </c>
      <c r="F20" s="147">
        <f>1765838/1000</f>
        <v>1765.838</v>
      </c>
      <c r="G20" s="147">
        <f>9394596/1000</f>
        <v>9394.5959999999995</v>
      </c>
      <c r="H20" s="147">
        <v>2896</v>
      </c>
      <c r="I20" s="147">
        <f>21276029/1000</f>
        <v>21276.028999999999</v>
      </c>
      <c r="J20" s="147">
        <f>11813777/1000</f>
        <v>11813.777</v>
      </c>
      <c r="K20" s="147">
        <f>22593436/1000</f>
        <v>22593.436000000002</v>
      </c>
      <c r="L20" s="147">
        <f>19342809/1000</f>
        <v>19342.809000000001</v>
      </c>
      <c r="M20" s="147">
        <f>4781308/1000</f>
        <v>4781.308</v>
      </c>
      <c r="N20" s="147">
        <f>11991518/1000</f>
        <v>11991.518</v>
      </c>
      <c r="O20" s="147">
        <f>107060778/1000</f>
        <v>107060.77800000001</v>
      </c>
      <c r="P20" s="147">
        <f>13155730/1000</f>
        <v>13155.73</v>
      </c>
      <c r="Q20" s="147">
        <v>78517</v>
      </c>
      <c r="R20" s="148">
        <f t="shared" ref="R20:R34" si="4">SUM(B20:Q20)</f>
        <v>351609.31699999998</v>
      </c>
    </row>
    <row r="21" spans="1:21" ht="27.75" customHeight="1">
      <c r="A21" s="149" t="s">
        <v>72</v>
      </c>
      <c r="B21" s="147"/>
      <c r="C21" s="147">
        <v>0</v>
      </c>
      <c r="D21" s="147">
        <v>0</v>
      </c>
      <c r="E21" s="147">
        <f>3133772/1000</f>
        <v>3133.7719999999999</v>
      </c>
      <c r="F21" s="147">
        <f>57750/1000</f>
        <v>57.75</v>
      </c>
      <c r="G21" s="147">
        <f>1928020/1000</f>
        <v>1928.02</v>
      </c>
      <c r="H21" s="147"/>
      <c r="I21" s="147"/>
      <c r="J21" s="147">
        <f>2813908/1000</f>
        <v>2813.9079999999999</v>
      </c>
      <c r="K21" s="147">
        <f>171200/1000</f>
        <v>171.2</v>
      </c>
      <c r="L21" s="147">
        <f>702712/1000</f>
        <v>702.71199999999999</v>
      </c>
      <c r="M21" s="147"/>
      <c r="N21" s="147">
        <f>3140250/1000</f>
        <v>3140.25</v>
      </c>
      <c r="O21" s="147">
        <f>972540/1000</f>
        <v>972.54</v>
      </c>
      <c r="P21" s="147">
        <f>4535595/1000</f>
        <v>4535.5950000000003</v>
      </c>
      <c r="Q21" s="147">
        <v>839</v>
      </c>
      <c r="R21" s="148">
        <f t="shared" si="4"/>
        <v>18294.746999999999</v>
      </c>
    </row>
    <row r="22" spans="1:21" ht="27.75" customHeight="1">
      <c r="A22" s="149" t="s">
        <v>73</v>
      </c>
      <c r="B22" s="147"/>
      <c r="C22" s="147">
        <v>0</v>
      </c>
      <c r="D22" s="147">
        <f>11904342/1000</f>
        <v>11904.342000000001</v>
      </c>
      <c r="E22" s="147">
        <f>3648461/1000</f>
        <v>3648.4609999999998</v>
      </c>
      <c r="F22" s="147">
        <f>681230/1000</f>
        <v>681.23</v>
      </c>
      <c r="G22" s="147">
        <f>6742539/1000</f>
        <v>6742.5389999999998</v>
      </c>
      <c r="H22" s="147">
        <v>2364</v>
      </c>
      <c r="I22" s="147">
        <f>12588129/1000</f>
        <v>12588.129000000001</v>
      </c>
      <c r="J22" s="147">
        <f>8054560/1000</f>
        <v>8054.56</v>
      </c>
      <c r="K22" s="147">
        <f>10078675/1000</f>
        <v>10078.674999999999</v>
      </c>
      <c r="L22" s="147"/>
      <c r="M22" s="147">
        <f>9377070/1000</f>
        <v>9377.07</v>
      </c>
      <c r="N22" s="147">
        <f>2427856/1000</f>
        <v>2427.8560000000002</v>
      </c>
      <c r="O22" s="147">
        <f>20481192/1000</f>
        <v>20481.191999999999</v>
      </c>
      <c r="P22" s="147">
        <f>5713672/1000</f>
        <v>5713.6719999999996</v>
      </c>
      <c r="Q22" s="147">
        <v>22637</v>
      </c>
      <c r="R22" s="148">
        <f t="shared" si="4"/>
        <v>116698.72600000001</v>
      </c>
    </row>
    <row r="23" spans="1:21" ht="27.75" customHeight="1">
      <c r="A23" s="149" t="s">
        <v>74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8">
        <f t="shared" si="4"/>
        <v>0</v>
      </c>
    </row>
    <row r="24" spans="1:21" ht="27.75" customHeight="1">
      <c r="A24" s="149" t="s">
        <v>75</v>
      </c>
      <c r="B24" s="147">
        <v>220</v>
      </c>
      <c r="C24" s="147">
        <v>0</v>
      </c>
      <c r="D24" s="147">
        <f>422681/1000</f>
        <v>422.68099999999998</v>
      </c>
      <c r="E24" s="147">
        <f>79140/1000</f>
        <v>79.14</v>
      </c>
      <c r="F24" s="147">
        <f>72500/1000</f>
        <v>72.5</v>
      </c>
      <c r="G24" s="147">
        <f>1195</f>
        <v>1195</v>
      </c>
      <c r="H24" s="147">
        <v>138</v>
      </c>
      <c r="I24" s="147">
        <f>397130/1000</f>
        <v>397.13</v>
      </c>
      <c r="J24" s="147">
        <f>134850/1000</f>
        <v>134.85</v>
      </c>
      <c r="K24" s="147">
        <v>115</v>
      </c>
      <c r="L24" s="147">
        <f>250125/1000</f>
        <v>250.125</v>
      </c>
      <c r="M24" s="147">
        <v>102</v>
      </c>
      <c r="N24" s="147">
        <f>266515/1000</f>
        <v>266.51499999999999</v>
      </c>
      <c r="O24" s="147">
        <f>554300/1000</f>
        <v>554.29999999999995</v>
      </c>
      <c r="P24" s="147">
        <f>92610/1000</f>
        <v>92.61</v>
      </c>
      <c r="Q24" s="147">
        <v>937</v>
      </c>
      <c r="R24" s="148">
        <f t="shared" si="4"/>
        <v>4976.8510000000006</v>
      </c>
    </row>
    <row r="25" spans="1:21" ht="27.75" customHeight="1">
      <c r="A25" s="149" t="s">
        <v>76</v>
      </c>
      <c r="B25" s="147"/>
      <c r="C25" s="147">
        <v>0</v>
      </c>
      <c r="D25" s="147">
        <f>220451/1000</f>
        <v>220.45099999999999</v>
      </c>
      <c r="E25" s="147">
        <f>10092/1000</f>
        <v>10.092000000000001</v>
      </c>
      <c r="F25" s="147">
        <v>17</v>
      </c>
      <c r="G25" s="147">
        <f>7667/1000</f>
        <v>7.6669999999999998</v>
      </c>
      <c r="H25" s="147"/>
      <c r="I25" s="147">
        <f>360803/1000</f>
        <v>360.803</v>
      </c>
      <c r="J25" s="147">
        <f>38876/1000</f>
        <v>38.875999999999998</v>
      </c>
      <c r="K25" s="147">
        <f>96606/1000</f>
        <v>96.605999999999995</v>
      </c>
      <c r="L25" s="147">
        <f>61376/1000</f>
        <v>61.375999999999998</v>
      </c>
      <c r="M25" s="147">
        <f>76667/1000</f>
        <v>76.667000000000002</v>
      </c>
      <c r="N25" s="147">
        <f>588218/1000</f>
        <v>588.21799999999996</v>
      </c>
      <c r="O25" s="147">
        <f>586263/1000</f>
        <v>586.26300000000003</v>
      </c>
      <c r="P25" s="147">
        <v>105</v>
      </c>
      <c r="Q25" s="147">
        <v>20</v>
      </c>
      <c r="R25" s="148">
        <f t="shared" si="4"/>
        <v>2189.0189999999998</v>
      </c>
    </row>
    <row r="26" spans="1:21" ht="27.75" customHeight="1">
      <c r="A26" s="149" t="s">
        <v>77</v>
      </c>
      <c r="B26" s="147"/>
      <c r="C26" s="147">
        <v>0</v>
      </c>
      <c r="D26" s="147"/>
      <c r="E26" s="147"/>
      <c r="F26" s="147"/>
      <c r="G26" s="147">
        <f>137460/1000</f>
        <v>137.46</v>
      </c>
      <c r="H26" s="147"/>
      <c r="I26" s="147">
        <f>268655/1000</f>
        <v>268.65499999999997</v>
      </c>
      <c r="J26" s="147">
        <f>11500/1000</f>
        <v>11.5</v>
      </c>
      <c r="K26" s="147"/>
      <c r="L26" s="147"/>
      <c r="M26" s="147"/>
      <c r="N26" s="147"/>
      <c r="O26" s="147">
        <f>28750/1000</f>
        <v>28.75</v>
      </c>
      <c r="Q26" s="147">
        <v>37</v>
      </c>
      <c r="R26" s="148">
        <f t="shared" si="4"/>
        <v>483.36500000000001</v>
      </c>
    </row>
    <row r="27" spans="1:21" ht="27.75" customHeight="1">
      <c r="A27" s="149" t="s">
        <v>78</v>
      </c>
      <c r="B27" s="147"/>
      <c r="C27" s="147">
        <v>0</v>
      </c>
      <c r="D27" s="147"/>
      <c r="E27" s="147">
        <f>6671/1000</f>
        <v>6.6710000000000003</v>
      </c>
      <c r="F27" s="147">
        <f>27375/1000</f>
        <v>27.375</v>
      </c>
      <c r="G27" s="147">
        <f>2781127/1000</f>
        <v>2781.127</v>
      </c>
      <c r="H27" s="147">
        <f>117+2098</f>
        <v>2215</v>
      </c>
      <c r="I27" s="147">
        <f>22957/1000</f>
        <v>22.957000000000001</v>
      </c>
      <c r="J27" s="147">
        <f>142566/1000</f>
        <v>142.566</v>
      </c>
      <c r="K27" s="147">
        <f>495536/1000</f>
        <v>495.536</v>
      </c>
      <c r="L27" s="147">
        <f>20907319/1000</f>
        <v>20907.319</v>
      </c>
      <c r="M27" s="147"/>
      <c r="N27" s="147">
        <f>1624861/1000</f>
        <v>1624.8610000000001</v>
      </c>
      <c r="O27" s="147">
        <f>842605/1000</f>
        <v>842.60500000000002</v>
      </c>
      <c r="P27" s="147">
        <f>40800/1000</f>
        <v>40.799999999999997</v>
      </c>
      <c r="Q27" s="147">
        <v>1326</v>
      </c>
      <c r="R27" s="148">
        <f t="shared" si="4"/>
        <v>30432.816999999999</v>
      </c>
    </row>
    <row r="28" spans="1:21" ht="27.75" customHeight="1">
      <c r="A28" s="149" t="s">
        <v>79</v>
      </c>
      <c r="B28" s="147">
        <v>1077</v>
      </c>
      <c r="C28" s="147">
        <v>0</v>
      </c>
      <c r="D28" s="147">
        <f>461451/1000</f>
        <v>461.45100000000002</v>
      </c>
      <c r="E28" s="147">
        <f>70944/1000</f>
        <v>70.944000000000003</v>
      </c>
      <c r="F28" s="147">
        <f>109366/1000</f>
        <v>109.366</v>
      </c>
      <c r="G28" s="147">
        <f>329789/1000</f>
        <v>329.78899999999999</v>
      </c>
      <c r="H28" s="147">
        <v>103</v>
      </c>
      <c r="I28" s="147">
        <f>1100521/1000</f>
        <v>1100.521</v>
      </c>
      <c r="J28" s="147">
        <f>242498/1000</f>
        <v>242.49799999999999</v>
      </c>
      <c r="K28" s="147">
        <f>519715/1000</f>
        <v>519.71500000000003</v>
      </c>
      <c r="L28" s="147">
        <f>3251689/1000</f>
        <v>3251.6889999999999</v>
      </c>
      <c r="M28" s="147"/>
      <c r="N28" s="147">
        <f>288490/1000</f>
        <v>288.49</v>
      </c>
      <c r="O28" s="147">
        <f>6051440/1000</f>
        <v>6051.44</v>
      </c>
      <c r="P28" s="147">
        <f>436180/1000</f>
        <v>436.18</v>
      </c>
      <c r="Q28" s="147">
        <v>1493</v>
      </c>
      <c r="R28" s="148">
        <f t="shared" si="4"/>
        <v>15535.082999999999</v>
      </c>
    </row>
    <row r="29" spans="1:21" ht="27.75" customHeight="1">
      <c r="A29" s="149" t="s">
        <v>80</v>
      </c>
      <c r="B29" s="147">
        <v>1693</v>
      </c>
      <c r="C29" s="147">
        <v>0</v>
      </c>
      <c r="D29" s="147">
        <f>797242/1000</f>
        <v>797.24199999999996</v>
      </c>
      <c r="E29" s="147">
        <f>287700/1000</f>
        <v>287.7</v>
      </c>
      <c r="F29" s="147">
        <f>38600/1000</f>
        <v>38.6</v>
      </c>
      <c r="G29" s="147">
        <f>1123347/1000</f>
        <v>1123.347</v>
      </c>
      <c r="H29" s="147"/>
      <c r="I29" s="147">
        <f>1661223/1000</f>
        <v>1661.223</v>
      </c>
      <c r="J29" s="147">
        <f>960879/1000</f>
        <v>960.87900000000002</v>
      </c>
      <c r="K29" s="147">
        <f>2642339/1000</f>
        <v>2642.3389999999999</v>
      </c>
      <c r="L29" s="147">
        <f>1436752/1000</f>
        <v>1436.752</v>
      </c>
      <c r="M29" s="147">
        <f>245450/1000</f>
        <v>245.45</v>
      </c>
      <c r="N29" s="147">
        <f>1089271/1000</f>
        <v>1089.271</v>
      </c>
      <c r="O29" s="147">
        <f>516631/1000</f>
        <v>516.63099999999997</v>
      </c>
      <c r="P29" s="147">
        <f>606834/1000</f>
        <v>606.83399999999995</v>
      </c>
      <c r="Q29" s="147">
        <v>4104</v>
      </c>
      <c r="R29" s="148">
        <f t="shared" si="4"/>
        <v>17203.268000000004</v>
      </c>
    </row>
    <row r="30" spans="1:21" ht="27.75" customHeight="1">
      <c r="A30" s="149" t="s">
        <v>78</v>
      </c>
      <c r="B30" s="147">
        <v>14924</v>
      </c>
      <c r="C30" s="147">
        <v>0</v>
      </c>
      <c r="D30" s="147"/>
      <c r="E30" s="147"/>
      <c r="F30" s="147"/>
      <c r="G30" s="147"/>
      <c r="H30" s="147"/>
      <c r="I30" s="147">
        <f>5625568/1000</f>
        <v>5625.5680000000002</v>
      </c>
      <c r="J30" s="147"/>
      <c r="K30" s="147"/>
      <c r="L30" s="147">
        <f>19042416/1000</f>
        <v>19042.416000000001</v>
      </c>
      <c r="M30" s="147"/>
      <c r="N30" s="147"/>
      <c r="O30" s="147"/>
      <c r="P30" s="147"/>
      <c r="Q30" s="147"/>
      <c r="R30" s="148">
        <f t="shared" si="4"/>
        <v>39591.983999999997</v>
      </c>
    </row>
    <row r="31" spans="1:21" ht="27.75" customHeight="1">
      <c r="A31" s="149" t="s">
        <v>81</v>
      </c>
      <c r="B31" s="147">
        <f t="shared" ref="B31:Q31" si="5">SUM(B20:B30)</f>
        <v>51579</v>
      </c>
      <c r="C31" s="147">
        <f t="shared" si="5"/>
        <v>0</v>
      </c>
      <c r="D31" s="147">
        <f t="shared" si="5"/>
        <v>23613.506000000001</v>
      </c>
      <c r="E31" s="147">
        <f t="shared" si="5"/>
        <v>10784.939</v>
      </c>
      <c r="F31" s="147">
        <f t="shared" si="5"/>
        <v>2769.6590000000001</v>
      </c>
      <c r="G31" s="147">
        <f t="shared" si="5"/>
        <v>23639.545000000002</v>
      </c>
      <c r="H31" s="147">
        <f t="shared" si="5"/>
        <v>7716</v>
      </c>
      <c r="I31" s="147">
        <f t="shared" si="5"/>
        <v>43301.014999999992</v>
      </c>
      <c r="J31" s="147">
        <f t="shared" si="5"/>
        <v>24213.413999999997</v>
      </c>
      <c r="K31" s="147">
        <f t="shared" si="5"/>
        <v>36712.506999999998</v>
      </c>
      <c r="L31" s="147">
        <f t="shared" si="5"/>
        <v>64995.198000000004</v>
      </c>
      <c r="M31" s="147">
        <f t="shared" si="5"/>
        <v>14582.495000000001</v>
      </c>
      <c r="N31" s="147">
        <f t="shared" si="5"/>
        <v>21416.979000000003</v>
      </c>
      <c r="O31" s="147">
        <f t="shared" si="5"/>
        <v>137094.49899999998</v>
      </c>
      <c r="P31" s="147">
        <f t="shared" si="5"/>
        <v>24686.420999999998</v>
      </c>
      <c r="Q31" s="147">
        <f t="shared" si="5"/>
        <v>109910</v>
      </c>
      <c r="R31" s="148">
        <f t="shared" si="4"/>
        <v>597015.17699999991</v>
      </c>
      <c r="T31" s="150"/>
      <c r="U31" s="150"/>
    </row>
    <row r="32" spans="1:21" ht="27.75" customHeight="1">
      <c r="A32" s="144" t="s">
        <v>82</v>
      </c>
      <c r="B32" s="140">
        <f t="shared" ref="B32:Q32" si="6">B10-B14+B18-B31</f>
        <v>28854</v>
      </c>
      <c r="C32" s="140">
        <f t="shared" si="6"/>
        <v>0</v>
      </c>
      <c r="D32" s="140">
        <f t="shared" si="6"/>
        <v>323.30499999999665</v>
      </c>
      <c r="E32" s="140">
        <f t="shared" si="6"/>
        <v>-1628.2900000000027</v>
      </c>
      <c r="F32" s="140">
        <f t="shared" si="6"/>
        <v>-1635.5119999999993</v>
      </c>
      <c r="G32" s="140">
        <f t="shared" si="6"/>
        <v>-771.54899999999907</v>
      </c>
      <c r="H32" s="140">
        <f t="shared" si="6"/>
        <v>-2406</v>
      </c>
      <c r="I32" s="140">
        <f t="shared" si="6"/>
        <v>-6189.2789999999732</v>
      </c>
      <c r="J32" s="140">
        <f t="shared" si="6"/>
        <v>-11845.803999999996</v>
      </c>
      <c r="K32" s="140">
        <f t="shared" si="6"/>
        <v>23835.844000000012</v>
      </c>
      <c r="L32" s="140">
        <f t="shared" si="6"/>
        <v>-55202.237999999983</v>
      </c>
      <c r="M32" s="140">
        <f t="shared" si="6"/>
        <v>1055.532999999994</v>
      </c>
      <c r="N32" s="140">
        <f t="shared" si="6"/>
        <v>-3956.0460000000021</v>
      </c>
      <c r="O32" s="140">
        <f t="shared" si="6"/>
        <v>-85871.310999999987</v>
      </c>
      <c r="P32" s="140">
        <f t="shared" si="6"/>
        <v>-11902.631999999987</v>
      </c>
      <c r="Q32" s="140">
        <f t="shared" si="6"/>
        <v>1695</v>
      </c>
      <c r="R32" s="148">
        <f t="shared" si="4"/>
        <v>-125644.97899999993</v>
      </c>
    </row>
    <row r="33" spans="1:20" ht="43.5" customHeight="1">
      <c r="A33" s="144" t="s">
        <v>83</v>
      </c>
      <c r="B33" s="147">
        <v>7712</v>
      </c>
      <c r="C33" s="147">
        <v>0</v>
      </c>
      <c r="D33" s="147">
        <f>5308469/1000</f>
        <v>5308.4690000000001</v>
      </c>
      <c r="E33" s="147">
        <f>3413184/1000</f>
        <v>3413.1840000000002</v>
      </c>
      <c r="F33" s="147">
        <f>5715344/1000</f>
        <v>5715.3440000000001</v>
      </c>
      <c r="G33" s="147">
        <f>5463428/1000</f>
        <v>5463.4279999999999</v>
      </c>
      <c r="H33" s="147">
        <f>724+1225</f>
        <v>1949</v>
      </c>
      <c r="I33" s="147">
        <f>13499190/1000</f>
        <v>13499.19</v>
      </c>
      <c r="J33" s="147">
        <f>3612414/1000</f>
        <v>3612.4140000000002</v>
      </c>
      <c r="K33" s="147">
        <f>10919869/1000</f>
        <v>10919.869000000001</v>
      </c>
      <c r="L33" s="147">
        <f>88849469/1000</f>
        <v>88849.468999999997</v>
      </c>
      <c r="M33" s="147">
        <f>19915721/1000</f>
        <v>19915.721000000001</v>
      </c>
      <c r="N33" s="147">
        <f>886605/1000</f>
        <v>886.60500000000002</v>
      </c>
      <c r="O33" s="147">
        <f>139112173/1000</f>
        <v>139112.17300000001</v>
      </c>
      <c r="P33" s="147">
        <f>14289024/1000</f>
        <v>14289.023999999999</v>
      </c>
      <c r="Q33" s="147">
        <v>52916</v>
      </c>
      <c r="R33" s="148">
        <f t="shared" si="4"/>
        <v>373561.89</v>
      </c>
      <c r="T33" s="150"/>
    </row>
    <row r="34" spans="1:20" ht="52.5" customHeight="1">
      <c r="A34" s="144" t="s">
        <v>84</v>
      </c>
      <c r="B34" s="147">
        <f t="shared" ref="B34:Q34" si="7">B32+B33</f>
        <v>36566</v>
      </c>
      <c r="C34" s="147">
        <f t="shared" si="7"/>
        <v>0</v>
      </c>
      <c r="D34" s="147">
        <f t="shared" si="7"/>
        <v>5631.7739999999967</v>
      </c>
      <c r="E34" s="147">
        <f t="shared" si="7"/>
        <v>1784.8939999999975</v>
      </c>
      <c r="F34" s="147">
        <f t="shared" si="7"/>
        <v>4079.8320000000008</v>
      </c>
      <c r="G34" s="147">
        <f t="shared" si="7"/>
        <v>4691.8790000000008</v>
      </c>
      <c r="H34" s="147">
        <f t="shared" si="7"/>
        <v>-457</v>
      </c>
      <c r="I34" s="147">
        <f t="shared" si="7"/>
        <v>7309.9110000000273</v>
      </c>
      <c r="J34" s="147">
        <f t="shared" si="7"/>
        <v>-8233.3899999999958</v>
      </c>
      <c r="K34" s="147">
        <f t="shared" si="7"/>
        <v>34755.713000000011</v>
      </c>
      <c r="L34" s="147">
        <f t="shared" si="7"/>
        <v>33647.231000000014</v>
      </c>
      <c r="M34" s="147">
        <f t="shared" si="7"/>
        <v>20971.253999999994</v>
      </c>
      <c r="N34" s="147">
        <f t="shared" si="7"/>
        <v>-3069.4410000000021</v>
      </c>
      <c r="O34" s="147">
        <f t="shared" si="7"/>
        <v>53240.862000000023</v>
      </c>
      <c r="P34" s="147">
        <f t="shared" si="7"/>
        <v>2386.3920000000126</v>
      </c>
      <c r="Q34" s="147">
        <f t="shared" si="7"/>
        <v>54611</v>
      </c>
      <c r="R34" s="148">
        <f t="shared" si="4"/>
        <v>247916.91100000011</v>
      </c>
      <c r="T34" s="150"/>
    </row>
    <row r="38" spans="1:20">
      <c r="P38" s="140"/>
      <c r="R38" s="140"/>
    </row>
  </sheetData>
  <mergeCells count="2">
    <mergeCell ref="A2:R2"/>
    <mergeCell ref="A3:R3"/>
  </mergeCells>
  <phoneticPr fontId="15" type="noConversion"/>
  <pageMargins left="0.75" right="0.75" top="1" bottom="1" header="0.5" footer="0.5"/>
  <pageSetup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/>
  <cols>
    <col min="1" max="1" width="32.5703125" style="107" bestFit="1" customWidth="1"/>
    <col min="2" max="2" width="14.7109375" style="108" bestFit="1" customWidth="1"/>
    <col min="3" max="3" width="8.28515625" style="108" customWidth="1"/>
    <col min="4" max="4" width="13.42578125" style="108" customWidth="1"/>
    <col min="5" max="5" width="8.5703125" style="108" bestFit="1" customWidth="1"/>
    <col min="6" max="6" width="8.42578125" style="108" bestFit="1" customWidth="1"/>
    <col min="7" max="7" width="12.140625" style="108" customWidth="1"/>
    <col min="8" max="8" width="11.140625" style="108" customWidth="1"/>
    <col min="9" max="9" width="18" style="108" customWidth="1"/>
    <col min="10" max="10" width="10" style="108" customWidth="1"/>
    <col min="11" max="11" width="9.28515625" style="108" customWidth="1"/>
    <col min="12" max="12" width="10" style="108" bestFit="1" customWidth="1"/>
    <col min="13" max="13" width="9.28515625" style="108" bestFit="1" customWidth="1"/>
    <col min="14" max="14" width="12.7109375" style="108" customWidth="1"/>
    <col min="15" max="15" width="9.5703125" style="108" customWidth="1"/>
    <col min="16" max="16" width="9.140625" style="107"/>
    <col min="17" max="17" width="9.28515625" style="108" bestFit="1" customWidth="1"/>
    <col min="18" max="18" width="19.140625" style="109" bestFit="1" customWidth="1"/>
    <col min="19" max="16384" width="9.140625" style="107"/>
  </cols>
  <sheetData>
    <row r="1" spans="1:18">
      <c r="R1" s="109" t="s">
        <v>48</v>
      </c>
    </row>
    <row r="2" spans="1:18">
      <c r="A2" s="154" t="s">
        <v>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>
      <c r="A3" s="154" t="s">
        <v>50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>
      <c r="R4" s="110" t="s">
        <v>51</v>
      </c>
    </row>
    <row r="5" spans="1:18" ht="14.25" customHeight="1">
      <c r="A5" s="111"/>
      <c r="R5" s="112"/>
    </row>
    <row r="6" spans="1:18" s="116" customFormat="1" ht="47.25" customHeight="1">
      <c r="A6" s="113"/>
      <c r="B6" s="120" t="s">
        <v>17</v>
      </c>
      <c r="C6" s="120" t="s">
        <v>18</v>
      </c>
      <c r="D6" s="114" t="s">
        <v>52</v>
      </c>
      <c r="E6" s="114" t="s">
        <v>19</v>
      </c>
      <c r="F6" s="120" t="s">
        <v>20</v>
      </c>
      <c r="G6" s="114" t="s">
        <v>53</v>
      </c>
      <c r="H6" s="115" t="s">
        <v>22</v>
      </c>
      <c r="I6" s="114" t="s">
        <v>54</v>
      </c>
      <c r="J6" s="114" t="s">
        <v>24</v>
      </c>
      <c r="K6" s="114" t="s">
        <v>55</v>
      </c>
      <c r="L6" s="114" t="s">
        <v>56</v>
      </c>
      <c r="M6" s="114" t="s">
        <v>44</v>
      </c>
      <c r="N6" s="114" t="s">
        <v>28</v>
      </c>
      <c r="O6" s="114" t="s">
        <v>30</v>
      </c>
      <c r="P6" s="115" t="s">
        <v>32</v>
      </c>
      <c r="Q6" s="114" t="s">
        <v>33</v>
      </c>
      <c r="R6" s="115" t="s">
        <v>57</v>
      </c>
    </row>
    <row r="7" spans="1:18" ht="27.75" customHeight="1">
      <c r="A7" s="113" t="s">
        <v>58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18" ht="27.75" customHeight="1">
      <c r="A8" s="119" t="s">
        <v>59</v>
      </c>
      <c r="B8" s="117">
        <v>87803</v>
      </c>
      <c r="C8" s="117">
        <v>0</v>
      </c>
      <c r="D8" s="117">
        <v>113761.77800000001</v>
      </c>
      <c r="E8" s="117">
        <v>26072.100999999999</v>
      </c>
      <c r="F8" s="117">
        <v>8081.4059999999999</v>
      </c>
      <c r="G8" s="117">
        <v>54235.025999999998</v>
      </c>
      <c r="H8" s="117">
        <v>12434</v>
      </c>
      <c r="I8" s="117">
        <v>150908</v>
      </c>
      <c r="J8" s="117">
        <v>79111.024000000005</v>
      </c>
      <c r="K8" s="117">
        <v>178743.08</v>
      </c>
      <c r="L8" s="117">
        <v>283006.81099999999</v>
      </c>
      <c r="M8" s="117">
        <v>95933.354999999996</v>
      </c>
      <c r="N8" s="117">
        <v>61214.069000000003</v>
      </c>
      <c r="O8" s="117">
        <v>82718.14</v>
      </c>
      <c r="P8" s="117">
        <v>70527.051999999996</v>
      </c>
      <c r="Q8" s="117">
        <v>217786</v>
      </c>
      <c r="R8" s="118">
        <f t="shared" ref="R8:R34" si="0">SUM(B8:Q8)</f>
        <v>1522334.8419999997</v>
      </c>
    </row>
    <row r="9" spans="1:18" ht="27.75" customHeight="1">
      <c r="A9" s="119" t="s">
        <v>60</v>
      </c>
      <c r="B9" s="117">
        <v>593</v>
      </c>
      <c r="C9" s="117">
        <v>0</v>
      </c>
      <c r="D9" s="117">
        <v>-14660.73</v>
      </c>
      <c r="E9" s="117">
        <v>0</v>
      </c>
      <c r="F9" s="117">
        <v>221.03200000000001</v>
      </c>
      <c r="G9" s="117">
        <v>-3656.893</v>
      </c>
      <c r="H9" s="117">
        <v>18905</v>
      </c>
      <c r="I9" s="117">
        <v>-1986</v>
      </c>
      <c r="J9" s="117">
        <v>890.86699999999996</v>
      </c>
      <c r="K9" s="117">
        <v>2704.9609999999998</v>
      </c>
      <c r="L9" s="117">
        <v>-43324.445</v>
      </c>
      <c r="M9" s="117">
        <v>-2717.1950000000002</v>
      </c>
      <c r="N9" s="117">
        <v>-1260.7750000000001</v>
      </c>
      <c r="O9" s="117">
        <v>-4635.567</v>
      </c>
      <c r="P9" s="117">
        <v>3421.53</v>
      </c>
      <c r="Q9" s="117">
        <v>-7211</v>
      </c>
      <c r="R9" s="118">
        <f t="shared" si="0"/>
        <v>-52716.215000000004</v>
      </c>
    </row>
    <row r="10" spans="1:18" ht="27.75" customHeight="1">
      <c r="A10" s="119" t="s">
        <v>61</v>
      </c>
      <c r="B10" s="117">
        <f>B8+B9</f>
        <v>88396</v>
      </c>
      <c r="C10" s="117">
        <f t="shared" ref="C10:R10" si="1">C8+C9</f>
        <v>0</v>
      </c>
      <c r="D10" s="117">
        <f t="shared" si="1"/>
        <v>99101.04800000001</v>
      </c>
      <c r="E10" s="117">
        <f t="shared" si="1"/>
        <v>26072.100999999999</v>
      </c>
      <c r="F10" s="117">
        <f t="shared" si="1"/>
        <v>8302.4380000000001</v>
      </c>
      <c r="G10" s="117">
        <f t="shared" si="1"/>
        <v>50578.133000000002</v>
      </c>
      <c r="H10" s="117">
        <f t="shared" si="1"/>
        <v>31339</v>
      </c>
      <c r="I10" s="117">
        <f t="shared" si="1"/>
        <v>148922</v>
      </c>
      <c r="J10" s="117">
        <f t="shared" si="1"/>
        <v>80001.891000000003</v>
      </c>
      <c r="K10" s="117">
        <f t="shared" si="1"/>
        <v>181448.041</v>
      </c>
      <c r="L10" s="117">
        <f t="shared" si="1"/>
        <v>239682.36599999998</v>
      </c>
      <c r="M10" s="117">
        <f t="shared" si="1"/>
        <v>93216.159999999989</v>
      </c>
      <c r="N10" s="117">
        <f t="shared" si="1"/>
        <v>59953.294000000002</v>
      </c>
      <c r="O10" s="117">
        <f t="shared" si="1"/>
        <v>78082.573000000004</v>
      </c>
      <c r="P10" s="117">
        <f t="shared" si="1"/>
        <v>73948.581999999995</v>
      </c>
      <c r="Q10" s="117">
        <f t="shared" si="1"/>
        <v>210575</v>
      </c>
      <c r="R10" s="118">
        <f t="shared" si="1"/>
        <v>1469618.6269999996</v>
      </c>
    </row>
    <row r="11" spans="1:18" ht="27.75" customHeight="1">
      <c r="A11" s="113" t="s">
        <v>62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8"/>
    </row>
    <row r="12" spans="1:18" ht="27.75" customHeight="1">
      <c r="A12" s="119" t="s">
        <v>63</v>
      </c>
      <c r="B12" s="117">
        <v>53036</v>
      </c>
      <c r="C12" s="117">
        <v>0</v>
      </c>
      <c r="D12" s="117">
        <v>57606</v>
      </c>
      <c r="E12" s="117">
        <v>13044.591</v>
      </c>
      <c r="F12" s="117">
        <v>5551.7780000000002</v>
      </c>
      <c r="G12" s="117">
        <v>35537.065999999999</v>
      </c>
      <c r="H12" s="117">
        <v>23539</v>
      </c>
      <c r="I12" s="117">
        <v>156314</v>
      </c>
      <c r="J12" s="117">
        <v>55782.832000000002</v>
      </c>
      <c r="K12" s="117">
        <v>114922.61599999999</v>
      </c>
      <c r="L12" s="117">
        <v>167197.68799999999</v>
      </c>
      <c r="M12" s="117">
        <v>66504.566000000006</v>
      </c>
      <c r="N12" s="117">
        <v>42264</v>
      </c>
      <c r="O12" s="117">
        <v>50313.046999999999</v>
      </c>
      <c r="P12" s="117">
        <v>55308.561000000002</v>
      </c>
      <c r="Q12" s="117">
        <v>139076</v>
      </c>
      <c r="R12" s="118">
        <f t="shared" si="0"/>
        <v>1035997.745</v>
      </c>
    </row>
    <row r="13" spans="1:18" ht="27.75" customHeight="1">
      <c r="A13" s="119" t="s">
        <v>64</v>
      </c>
      <c r="B13" s="117">
        <v>-2607</v>
      </c>
      <c r="C13" s="117">
        <v>0</v>
      </c>
      <c r="D13" s="117">
        <v>4140</v>
      </c>
      <c r="E13" s="117">
        <v>2674.9720000000002</v>
      </c>
      <c r="F13" s="117">
        <v>3090.0680000000002</v>
      </c>
      <c r="G13" s="117">
        <v>-760.93200000000002</v>
      </c>
      <c r="H13" s="117">
        <v>2031</v>
      </c>
      <c r="I13" s="117">
        <v>-57385</v>
      </c>
      <c r="J13" s="117">
        <v>-670.77</v>
      </c>
      <c r="K13" s="117">
        <v>12985.084000000001</v>
      </c>
      <c r="L13" s="117">
        <v>27525.524000000001</v>
      </c>
      <c r="M13" s="117">
        <v>25188.179</v>
      </c>
      <c r="N13" s="117">
        <v>16834</v>
      </c>
      <c r="O13" s="117">
        <v>-6145.4359999999997</v>
      </c>
      <c r="P13" s="117">
        <v>-12045.994000000001</v>
      </c>
      <c r="Q13" s="117">
        <v>5896</v>
      </c>
      <c r="R13" s="118">
        <f t="shared" si="0"/>
        <v>20749.695000000007</v>
      </c>
    </row>
    <row r="14" spans="1:18" ht="27.75" customHeight="1">
      <c r="A14" s="119" t="s">
        <v>65</v>
      </c>
      <c r="B14" s="117">
        <f>B12+B13</f>
        <v>50429</v>
      </c>
      <c r="C14" s="117">
        <f t="shared" ref="C14:R14" si="2">C12+C13</f>
        <v>0</v>
      </c>
      <c r="D14" s="117">
        <f t="shared" si="2"/>
        <v>61746</v>
      </c>
      <c r="E14" s="117">
        <f t="shared" si="2"/>
        <v>15719.563</v>
      </c>
      <c r="F14" s="117">
        <f t="shared" si="2"/>
        <v>8641.8460000000014</v>
      </c>
      <c r="G14" s="117">
        <f t="shared" si="2"/>
        <v>34776.133999999998</v>
      </c>
      <c r="H14" s="117">
        <f t="shared" si="2"/>
        <v>25570</v>
      </c>
      <c r="I14" s="117">
        <f t="shared" si="2"/>
        <v>98929</v>
      </c>
      <c r="J14" s="117">
        <f t="shared" si="2"/>
        <v>55112.062000000005</v>
      </c>
      <c r="K14" s="117">
        <f t="shared" si="2"/>
        <v>127907.7</v>
      </c>
      <c r="L14" s="117">
        <f t="shared" si="2"/>
        <v>194723.212</v>
      </c>
      <c r="M14" s="117">
        <f t="shared" si="2"/>
        <v>91692.74500000001</v>
      </c>
      <c r="N14" s="117">
        <f t="shared" si="2"/>
        <v>59098</v>
      </c>
      <c r="O14" s="117">
        <f t="shared" si="2"/>
        <v>44167.610999999997</v>
      </c>
      <c r="P14" s="117">
        <f t="shared" si="2"/>
        <v>43262.567000000003</v>
      </c>
      <c r="Q14" s="117">
        <f t="shared" si="2"/>
        <v>144972</v>
      </c>
      <c r="R14" s="118">
        <f t="shared" si="2"/>
        <v>1056747.44</v>
      </c>
    </row>
    <row r="15" spans="1:18" ht="27.75" customHeight="1">
      <c r="A15" s="113" t="s">
        <v>66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</row>
    <row r="16" spans="1:18" ht="27.75" customHeight="1">
      <c r="A16" s="119" t="s">
        <v>67</v>
      </c>
      <c r="B16" s="117">
        <v>47613</v>
      </c>
      <c r="C16" s="117">
        <v>0</v>
      </c>
      <c r="D16" s="117">
        <v>308.50599999999997</v>
      </c>
      <c r="E16" s="117">
        <v>593.68499999999995</v>
      </c>
      <c r="F16" s="117">
        <v>139.32599999999999</v>
      </c>
      <c r="G16" s="117">
        <v>31962.432000000001</v>
      </c>
      <c r="H16" s="117">
        <v>67</v>
      </c>
      <c r="I16" s="117">
        <v>20986</v>
      </c>
      <c r="J16" s="117">
        <v>1909.8610000000001</v>
      </c>
      <c r="K16" s="117">
        <v>29696.457999999999</v>
      </c>
      <c r="L16" s="117">
        <v>13003.821</v>
      </c>
      <c r="M16" s="117">
        <v>9401.5640000000003</v>
      </c>
      <c r="N16" s="117">
        <v>4919.259</v>
      </c>
      <c r="O16" s="117">
        <v>20809.913</v>
      </c>
      <c r="P16" s="117">
        <v>8988.5069999999996</v>
      </c>
      <c r="Q16" s="117">
        <v>75666</v>
      </c>
      <c r="R16" s="118">
        <f t="shared" si="0"/>
        <v>266065.33199999999</v>
      </c>
    </row>
    <row r="17" spans="1:18" ht="27.75" customHeight="1">
      <c r="A17" s="119" t="s">
        <v>68</v>
      </c>
      <c r="B17" s="117">
        <v>17581</v>
      </c>
      <c r="C17" s="117">
        <v>0</v>
      </c>
      <c r="D17" s="117">
        <v>17199.816999999999</v>
      </c>
      <c r="E17" s="117">
        <v>2546.33</v>
      </c>
      <c r="F17" s="117">
        <v>81</v>
      </c>
      <c r="G17" s="117">
        <v>26814.182000000001</v>
      </c>
      <c r="H17" s="117">
        <v>2166</v>
      </c>
      <c r="I17" s="117">
        <v>23490</v>
      </c>
      <c r="J17" s="117">
        <v>10756.475</v>
      </c>
      <c r="K17" s="117">
        <v>24671.626</v>
      </c>
      <c r="L17" s="117">
        <v>36690.065000000002</v>
      </c>
      <c r="M17" s="117">
        <v>21128.379000000001</v>
      </c>
      <c r="N17" s="117">
        <v>5485.4840000000004</v>
      </c>
      <c r="O17" s="117">
        <v>5306.6440000000002</v>
      </c>
      <c r="P17" s="117">
        <v>8297.0490000000009</v>
      </c>
      <c r="Q17" s="117">
        <v>52439</v>
      </c>
      <c r="R17" s="118">
        <f t="shared" si="0"/>
        <v>254653.05100000001</v>
      </c>
    </row>
    <row r="18" spans="1:18" ht="27.75" customHeight="1">
      <c r="A18" s="119" t="s">
        <v>69</v>
      </c>
      <c r="B18" s="117">
        <f>B16-B17</f>
        <v>30032</v>
      </c>
      <c r="C18" s="117">
        <f t="shared" ref="C18:R18" si="3">C16-C17</f>
        <v>0</v>
      </c>
      <c r="D18" s="117">
        <f t="shared" si="3"/>
        <v>-16891.310999999998</v>
      </c>
      <c r="E18" s="117">
        <f t="shared" si="3"/>
        <v>-1952.645</v>
      </c>
      <c r="F18" s="117">
        <f t="shared" si="3"/>
        <v>58.325999999999993</v>
      </c>
      <c r="G18" s="117">
        <f t="shared" si="3"/>
        <v>5148.25</v>
      </c>
      <c r="H18" s="117">
        <f t="shared" si="3"/>
        <v>-2099</v>
      </c>
      <c r="I18" s="117">
        <f t="shared" si="3"/>
        <v>-2504</v>
      </c>
      <c r="J18" s="117">
        <f t="shared" si="3"/>
        <v>-8846.6139999999996</v>
      </c>
      <c r="K18" s="117">
        <f t="shared" si="3"/>
        <v>5024.8319999999985</v>
      </c>
      <c r="L18" s="117">
        <f t="shared" si="3"/>
        <v>-23686.244000000002</v>
      </c>
      <c r="M18" s="117">
        <f t="shared" si="3"/>
        <v>-11726.815000000001</v>
      </c>
      <c r="N18" s="117">
        <f t="shared" si="3"/>
        <v>-566.22500000000036</v>
      </c>
      <c r="O18" s="117">
        <f t="shared" si="3"/>
        <v>15503.269</v>
      </c>
      <c r="P18" s="117">
        <f t="shared" si="3"/>
        <v>691.45799999999872</v>
      </c>
      <c r="Q18" s="117">
        <f t="shared" si="3"/>
        <v>23227</v>
      </c>
      <c r="R18" s="118">
        <f t="shared" si="3"/>
        <v>11412.280999999988</v>
      </c>
    </row>
    <row r="19" spans="1:18" ht="27.75" customHeight="1">
      <c r="A19" s="113" t="s">
        <v>70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</row>
    <row r="20" spans="1:18" ht="27.75" customHeight="1">
      <c r="A20" s="119" t="s">
        <v>71</v>
      </c>
      <c r="B20" s="117">
        <v>32317</v>
      </c>
      <c r="C20" s="117">
        <v>0</v>
      </c>
      <c r="D20" s="117">
        <v>8106.933</v>
      </c>
      <c r="E20" s="117">
        <v>2515.9810000000002</v>
      </c>
      <c r="F20" s="117">
        <v>1534.59</v>
      </c>
      <c r="G20" s="117">
        <v>9673.6749999999993</v>
      </c>
      <c r="H20" s="117">
        <v>4773</v>
      </c>
      <c r="I20" s="117">
        <v>16879</v>
      </c>
      <c r="J20" s="117">
        <v>8674.1740000000009</v>
      </c>
      <c r="K20" s="117">
        <v>18981.987000000001</v>
      </c>
      <c r="L20" s="117">
        <v>12032.189</v>
      </c>
      <c r="M20" s="117">
        <v>5267.8990000000003</v>
      </c>
      <c r="N20" s="117">
        <v>10108.797</v>
      </c>
      <c r="O20" s="117">
        <v>88276.13</v>
      </c>
      <c r="P20" s="117">
        <v>11759.986000000001</v>
      </c>
      <c r="Q20" s="117">
        <v>67801</v>
      </c>
      <c r="R20" s="118">
        <f t="shared" si="0"/>
        <v>298702.34100000001</v>
      </c>
    </row>
    <row r="21" spans="1:18" ht="27.75" customHeight="1">
      <c r="A21" s="119" t="s">
        <v>72</v>
      </c>
      <c r="B21" s="117">
        <v>0</v>
      </c>
      <c r="C21" s="117">
        <v>0</v>
      </c>
      <c r="D21" s="117">
        <v>0</v>
      </c>
      <c r="E21" s="117">
        <v>2437.348</v>
      </c>
      <c r="F21" s="117">
        <v>50.25</v>
      </c>
      <c r="G21" s="117">
        <v>1853.79</v>
      </c>
      <c r="H21" s="117">
        <v>0</v>
      </c>
      <c r="I21" s="117">
        <v>0</v>
      </c>
      <c r="J21" s="117">
        <v>2478.6759999999999</v>
      </c>
      <c r="K21" s="117">
        <v>208</v>
      </c>
      <c r="L21" s="117">
        <v>490.96600000000001</v>
      </c>
      <c r="M21" s="117">
        <v>0</v>
      </c>
      <c r="N21" s="117">
        <v>3025.7750000000001</v>
      </c>
      <c r="O21" s="117">
        <v>778</v>
      </c>
      <c r="P21" s="117">
        <v>6980.36</v>
      </c>
      <c r="Q21" s="117">
        <v>497</v>
      </c>
      <c r="R21" s="118">
        <f t="shared" si="0"/>
        <v>18800.165000000001</v>
      </c>
    </row>
    <row r="22" spans="1:18" ht="27.75" customHeight="1">
      <c r="A22" s="119" t="s">
        <v>73</v>
      </c>
      <c r="B22" s="117">
        <v>0</v>
      </c>
      <c r="C22" s="117">
        <v>0</v>
      </c>
      <c r="D22" s="117">
        <v>9704.3590000000004</v>
      </c>
      <c r="E22" s="117">
        <v>3797.404</v>
      </c>
      <c r="F22" s="117">
        <v>701.39200000000005</v>
      </c>
      <c r="G22" s="117">
        <v>4596.893</v>
      </c>
      <c r="H22" s="117">
        <v>3623</v>
      </c>
      <c r="I22" s="117">
        <v>11141</v>
      </c>
      <c r="J22" s="117">
        <v>6571.2120000000004</v>
      </c>
      <c r="K22" s="117">
        <v>9242.0820000000003</v>
      </c>
      <c r="L22" s="117">
        <v>0</v>
      </c>
      <c r="M22" s="117">
        <v>9676.2000000000007</v>
      </c>
      <c r="N22" s="117">
        <v>10751.239</v>
      </c>
      <c r="O22" s="117">
        <v>16720.68</v>
      </c>
      <c r="P22" s="117">
        <v>2471.375</v>
      </c>
      <c r="Q22" s="117">
        <v>19375</v>
      </c>
      <c r="R22" s="118">
        <f t="shared" si="0"/>
        <v>108371.83600000001</v>
      </c>
    </row>
    <row r="23" spans="1:18" ht="27.75" customHeight="1">
      <c r="A23" s="119" t="s">
        <v>74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578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1756</v>
      </c>
      <c r="R23" s="118">
        <f t="shared" si="0"/>
        <v>2334</v>
      </c>
    </row>
    <row r="24" spans="1:18" ht="27.75" customHeight="1">
      <c r="A24" s="119" t="s">
        <v>75</v>
      </c>
      <c r="B24" s="117">
        <v>637</v>
      </c>
      <c r="C24" s="117">
        <v>0</v>
      </c>
      <c r="D24" s="117">
        <v>317.83100000000002</v>
      </c>
      <c r="E24" s="117">
        <v>50</v>
      </c>
      <c r="F24" s="117">
        <v>115</v>
      </c>
      <c r="G24" s="117">
        <v>204.125</v>
      </c>
      <c r="H24" s="117">
        <v>161</v>
      </c>
      <c r="I24" s="117">
        <v>303</v>
      </c>
      <c r="J24" s="117">
        <v>113.85</v>
      </c>
      <c r="K24" s="117">
        <v>105.8</v>
      </c>
      <c r="L24" s="117">
        <v>241.5</v>
      </c>
      <c r="M24" s="117">
        <v>92</v>
      </c>
      <c r="N24" s="117">
        <v>334.125</v>
      </c>
      <c r="O24" s="117">
        <v>460</v>
      </c>
      <c r="P24" s="117">
        <v>158.33500000000001</v>
      </c>
      <c r="Q24" s="117">
        <v>914</v>
      </c>
      <c r="R24" s="118">
        <f t="shared" si="0"/>
        <v>4207.5659999999998</v>
      </c>
    </row>
    <row r="25" spans="1:18" ht="27.75" customHeight="1">
      <c r="A25" s="119" t="s">
        <v>76</v>
      </c>
      <c r="B25" s="117">
        <v>0</v>
      </c>
      <c r="C25" s="117">
        <v>0</v>
      </c>
      <c r="D25" s="117">
        <v>303.125</v>
      </c>
      <c r="E25" s="117">
        <v>0</v>
      </c>
      <c r="F25" s="117">
        <v>17.25</v>
      </c>
      <c r="G25" s="117">
        <v>15.635999999999999</v>
      </c>
      <c r="H25" s="117">
        <v>0</v>
      </c>
      <c r="I25" s="117">
        <v>754</v>
      </c>
      <c r="J25" s="117">
        <v>38.435000000000002</v>
      </c>
      <c r="K25" s="117">
        <v>0</v>
      </c>
      <c r="L25" s="117">
        <v>52.756999999999998</v>
      </c>
      <c r="M25" s="117">
        <v>96.83</v>
      </c>
      <c r="N25" s="117">
        <v>226</v>
      </c>
      <c r="O25" s="117">
        <v>221.5</v>
      </c>
      <c r="P25" s="117">
        <v>186.03</v>
      </c>
      <c r="Q25" s="117">
        <v>51</v>
      </c>
      <c r="R25" s="118">
        <f t="shared" si="0"/>
        <v>1962.5629999999999</v>
      </c>
    </row>
    <row r="26" spans="1:18" ht="27.75" customHeight="1">
      <c r="A26" s="119" t="s">
        <v>77</v>
      </c>
      <c r="B26" s="117">
        <v>0</v>
      </c>
      <c r="C26" s="117">
        <v>0</v>
      </c>
      <c r="D26" s="117">
        <v>0</v>
      </c>
      <c r="E26" s="117">
        <v>66.986999999999995</v>
      </c>
      <c r="F26" s="117">
        <v>0</v>
      </c>
      <c r="G26" s="117">
        <v>0</v>
      </c>
      <c r="H26" s="117">
        <v>0</v>
      </c>
      <c r="I26" s="117">
        <v>370</v>
      </c>
      <c r="J26" s="117">
        <v>13.7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521</v>
      </c>
      <c r="R26" s="118">
        <f t="shared" si="0"/>
        <v>971.6869999999999</v>
      </c>
    </row>
    <row r="27" spans="1:18" ht="27.75" customHeight="1">
      <c r="A27" s="119" t="s">
        <v>78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1019.414</v>
      </c>
      <c r="H27" s="117">
        <v>5505</v>
      </c>
      <c r="I27" s="117">
        <v>154</v>
      </c>
      <c r="J27" s="117">
        <v>65.430000000000007</v>
      </c>
      <c r="K27" s="117">
        <v>15</v>
      </c>
      <c r="L27" s="117">
        <v>0</v>
      </c>
      <c r="M27" s="117">
        <v>0</v>
      </c>
      <c r="N27" s="117">
        <v>0</v>
      </c>
      <c r="O27" s="117">
        <v>1124.7570000000001</v>
      </c>
      <c r="P27" s="117">
        <v>42.411999999999999</v>
      </c>
      <c r="Q27" s="117">
        <v>0</v>
      </c>
      <c r="R27" s="118">
        <f t="shared" si="0"/>
        <v>7926.0130000000008</v>
      </c>
    </row>
    <row r="28" spans="1:18" ht="27.75" customHeight="1">
      <c r="A28" s="119" t="s">
        <v>79</v>
      </c>
      <c r="B28" s="117">
        <v>602</v>
      </c>
      <c r="C28" s="117">
        <v>0</v>
      </c>
      <c r="D28" s="117">
        <v>661.61300000000006</v>
      </c>
      <c r="E28" s="117">
        <v>96.103999999999999</v>
      </c>
      <c r="F28" s="117">
        <v>17</v>
      </c>
      <c r="G28" s="117">
        <v>426.685</v>
      </c>
      <c r="H28" s="117">
        <v>158</v>
      </c>
      <c r="I28" s="117">
        <v>834</v>
      </c>
      <c r="J28" s="117">
        <v>236.19</v>
      </c>
      <c r="K28" s="117">
        <v>570.90599999999995</v>
      </c>
      <c r="L28" s="117">
        <v>2251.41</v>
      </c>
      <c r="M28" s="117">
        <v>0</v>
      </c>
      <c r="N28" s="117">
        <v>93.659000000000006</v>
      </c>
      <c r="O28" s="117">
        <v>5661.6629999999996</v>
      </c>
      <c r="P28" s="117">
        <v>304.44</v>
      </c>
      <c r="Q28" s="117">
        <v>1292</v>
      </c>
      <c r="R28" s="118">
        <f t="shared" si="0"/>
        <v>13205.67</v>
      </c>
    </row>
    <row r="29" spans="1:18" ht="27.75" customHeight="1">
      <c r="A29" s="119" t="s">
        <v>80</v>
      </c>
      <c r="B29" s="117">
        <v>883</v>
      </c>
      <c r="C29" s="117">
        <v>0</v>
      </c>
      <c r="D29" s="117">
        <v>798.38300000000004</v>
      </c>
      <c r="E29" s="117">
        <v>420.69400000000002</v>
      </c>
      <c r="F29" s="117">
        <v>34.411000000000001</v>
      </c>
      <c r="G29" s="117">
        <v>1225.028</v>
      </c>
      <c r="H29" s="117">
        <v>0</v>
      </c>
      <c r="I29" s="117">
        <v>1661</v>
      </c>
      <c r="J29" s="117">
        <v>897.25400000000002</v>
      </c>
      <c r="K29" s="117">
        <v>2625.6959999999999</v>
      </c>
      <c r="L29" s="117">
        <v>625.16999999999996</v>
      </c>
      <c r="M29" s="117">
        <v>344.01799999999997</v>
      </c>
      <c r="N29" s="117">
        <v>462.786</v>
      </c>
      <c r="O29" s="117">
        <v>327.34800000000001</v>
      </c>
      <c r="P29" s="117">
        <v>547.322</v>
      </c>
      <c r="Q29" s="117">
        <v>3741</v>
      </c>
      <c r="R29" s="118">
        <f t="shared" si="0"/>
        <v>14593.11</v>
      </c>
    </row>
    <row r="30" spans="1:18" ht="27.75" customHeight="1">
      <c r="A30" s="119" t="s">
        <v>78</v>
      </c>
      <c r="B30" s="117">
        <v>11642</v>
      </c>
      <c r="C30" s="117">
        <v>0</v>
      </c>
      <c r="D30" s="117">
        <v>0</v>
      </c>
      <c r="E30" s="117">
        <v>0</v>
      </c>
      <c r="F30" s="117">
        <v>861.60699999999997</v>
      </c>
      <c r="G30" s="117">
        <v>0</v>
      </c>
      <c r="H30" s="117">
        <v>0</v>
      </c>
      <c r="I30" s="117">
        <v>6397</v>
      </c>
      <c r="J30" s="117">
        <v>0</v>
      </c>
      <c r="K30" s="117">
        <v>0</v>
      </c>
      <c r="L30" s="117">
        <v>18701.694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8">
        <f t="shared" si="0"/>
        <v>37602.300999999999</v>
      </c>
    </row>
    <row r="31" spans="1:18" ht="27.75" customHeight="1">
      <c r="A31" s="119" t="s">
        <v>81</v>
      </c>
      <c r="B31" s="117">
        <f>SUM(B20:B30)</f>
        <v>46081</v>
      </c>
      <c r="C31" s="117">
        <f t="shared" ref="C31:R31" si="4">SUM(C20:C30)</f>
        <v>0</v>
      </c>
      <c r="D31" s="117">
        <f t="shared" si="4"/>
        <v>19892.244000000002</v>
      </c>
      <c r="E31" s="117">
        <f t="shared" si="4"/>
        <v>9384.5179999999982</v>
      </c>
      <c r="F31" s="117">
        <f t="shared" si="4"/>
        <v>3331.5</v>
      </c>
      <c r="G31" s="117">
        <f t="shared" si="4"/>
        <v>19015.245999999999</v>
      </c>
      <c r="H31" s="117">
        <f t="shared" si="4"/>
        <v>14798</v>
      </c>
      <c r="I31" s="117">
        <f t="shared" si="4"/>
        <v>38493</v>
      </c>
      <c r="J31" s="117">
        <f t="shared" si="4"/>
        <v>19088.921000000002</v>
      </c>
      <c r="K31" s="117">
        <f t="shared" si="4"/>
        <v>31749.471000000001</v>
      </c>
      <c r="L31" s="117">
        <f t="shared" si="4"/>
        <v>34395.686000000002</v>
      </c>
      <c r="M31" s="117">
        <f t="shared" si="4"/>
        <v>15476.947000000002</v>
      </c>
      <c r="N31" s="117">
        <f t="shared" si="4"/>
        <v>25002.381000000001</v>
      </c>
      <c r="O31" s="117">
        <f t="shared" si="4"/>
        <v>113570.07799999999</v>
      </c>
      <c r="P31" s="117">
        <f t="shared" si="4"/>
        <v>22450.26</v>
      </c>
      <c r="Q31" s="117">
        <f t="shared" si="4"/>
        <v>95948</v>
      </c>
      <c r="R31" s="118">
        <f t="shared" si="4"/>
        <v>508677.25199999992</v>
      </c>
    </row>
    <row r="32" spans="1:18" ht="27.75" customHeight="1">
      <c r="A32" s="119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8"/>
    </row>
    <row r="33" spans="1:18" ht="27.75" customHeight="1">
      <c r="A33" s="113" t="s">
        <v>82</v>
      </c>
      <c r="B33" s="117">
        <f>B10-B14+B16-B17-B31</f>
        <v>21918</v>
      </c>
      <c r="C33" s="117">
        <f t="shared" ref="C33:R33" si="5">C10-C14+C16-C17-C31</f>
        <v>0</v>
      </c>
      <c r="D33" s="117">
        <f t="shared" si="5"/>
        <v>571.49300000000949</v>
      </c>
      <c r="E33" s="117">
        <f t="shared" si="5"/>
        <v>-984.625</v>
      </c>
      <c r="F33" s="117">
        <f t="shared" si="5"/>
        <v>-3612.5820000000012</v>
      </c>
      <c r="G33" s="117">
        <f t="shared" si="5"/>
        <v>1935.0030000000042</v>
      </c>
      <c r="H33" s="117">
        <f t="shared" si="5"/>
        <v>-11128</v>
      </c>
      <c r="I33" s="117">
        <f t="shared" si="5"/>
        <v>8996</v>
      </c>
      <c r="J33" s="117">
        <f t="shared" si="5"/>
        <v>-3045.7060000000038</v>
      </c>
      <c r="K33" s="117">
        <f t="shared" si="5"/>
        <v>26815.701999999994</v>
      </c>
      <c r="L33" s="117">
        <f t="shared" si="5"/>
        <v>-13122.776000000027</v>
      </c>
      <c r="M33" s="117">
        <f t="shared" si="5"/>
        <v>-25680.347000000023</v>
      </c>
      <c r="N33" s="117">
        <f t="shared" si="5"/>
        <v>-24713.311999999998</v>
      </c>
      <c r="O33" s="117">
        <f t="shared" si="5"/>
        <v>-64151.846999999987</v>
      </c>
      <c r="P33" s="117">
        <f t="shared" si="5"/>
        <v>8927.2129999999925</v>
      </c>
      <c r="Q33" s="117">
        <f t="shared" si="5"/>
        <v>-7118</v>
      </c>
      <c r="R33" s="118">
        <f t="shared" si="5"/>
        <v>-84393.784000000276</v>
      </c>
    </row>
    <row r="34" spans="1:18" ht="43.5" customHeight="1">
      <c r="A34" s="113" t="s">
        <v>83</v>
      </c>
      <c r="B34" s="117">
        <v>7547</v>
      </c>
      <c r="C34" s="117">
        <v>0</v>
      </c>
      <c r="D34" s="117">
        <v>4433.4610000000002</v>
      </c>
      <c r="E34" s="117">
        <v>4035.4</v>
      </c>
      <c r="F34" s="117">
        <v>5692.9849999999997</v>
      </c>
      <c r="G34" s="117">
        <v>4866.91</v>
      </c>
      <c r="H34" s="117">
        <v>3367</v>
      </c>
      <c r="I34" s="117">
        <v>22261</v>
      </c>
      <c r="J34" s="117">
        <v>4900.54</v>
      </c>
      <c r="K34" s="117">
        <v>13275.991</v>
      </c>
      <c r="L34" s="117">
        <v>24500.753000000001</v>
      </c>
      <c r="M34" s="117">
        <v>15457.673000000001</v>
      </c>
      <c r="N34" s="117">
        <v>1178.3689999999999</v>
      </c>
      <c r="O34" s="117">
        <v>141571.33100000001</v>
      </c>
      <c r="P34" s="117">
        <v>16039.558000000001</v>
      </c>
      <c r="Q34" s="117">
        <v>76653</v>
      </c>
      <c r="R34" s="118">
        <f t="shared" si="0"/>
        <v>345780.97100000002</v>
      </c>
    </row>
    <row r="35" spans="1:18" ht="52.5" customHeight="1">
      <c r="A35" s="113" t="s">
        <v>84</v>
      </c>
      <c r="B35" s="117">
        <f>B33+B34</f>
        <v>29465</v>
      </c>
      <c r="C35" s="117">
        <f t="shared" ref="C35:R35" si="6">C33+C34</f>
        <v>0</v>
      </c>
      <c r="D35" s="117">
        <f t="shared" si="6"/>
        <v>5004.9540000000097</v>
      </c>
      <c r="E35" s="117">
        <f t="shared" si="6"/>
        <v>3050.7750000000001</v>
      </c>
      <c r="F35" s="117">
        <f t="shared" si="6"/>
        <v>2080.4029999999984</v>
      </c>
      <c r="G35" s="117">
        <f t="shared" si="6"/>
        <v>6801.9130000000041</v>
      </c>
      <c r="H35" s="117">
        <f t="shared" si="6"/>
        <v>-7761</v>
      </c>
      <c r="I35" s="117">
        <f t="shared" si="6"/>
        <v>31257</v>
      </c>
      <c r="J35" s="117">
        <f t="shared" si="6"/>
        <v>1854.8339999999962</v>
      </c>
      <c r="K35" s="117">
        <f t="shared" si="6"/>
        <v>40091.692999999992</v>
      </c>
      <c r="L35" s="117">
        <f t="shared" si="6"/>
        <v>11377.976999999973</v>
      </c>
      <c r="M35" s="117">
        <f t="shared" si="6"/>
        <v>-10222.674000000023</v>
      </c>
      <c r="N35" s="117">
        <f t="shared" si="6"/>
        <v>-23534.942999999999</v>
      </c>
      <c r="O35" s="117">
        <f t="shared" si="6"/>
        <v>77419.484000000026</v>
      </c>
      <c r="P35" s="117">
        <f t="shared" si="6"/>
        <v>24966.770999999993</v>
      </c>
      <c r="Q35" s="117">
        <f t="shared" si="6"/>
        <v>69535</v>
      </c>
      <c r="R35" s="118">
        <f t="shared" si="6"/>
        <v>261387.18699999974</v>
      </c>
    </row>
    <row r="36" spans="1:18">
      <c r="P36" s="108"/>
    </row>
  </sheetData>
  <mergeCells count="2">
    <mergeCell ref="A2:R2"/>
    <mergeCell ref="A3:R3"/>
  </mergeCells>
  <phoneticPr fontId="15" type="noConversion"/>
  <pageMargins left="0.75" right="0.75" top="1" bottom="1" header="0.5" footer="0.5"/>
  <pageSetup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27" customWidth="1"/>
    <col min="2" max="2" width="11.7109375" customWidth="1"/>
    <col min="3" max="3" width="13" customWidth="1"/>
    <col min="4" max="5" width="11.28515625" customWidth="1"/>
    <col min="6" max="6" width="12.85546875" customWidth="1"/>
    <col min="7" max="8" width="9.7109375" customWidth="1"/>
    <col min="9" max="9" width="11.7109375" customWidth="1"/>
    <col min="10" max="10" width="8.140625" customWidth="1"/>
    <col min="11" max="11" width="13.5703125" style="80" customWidth="1"/>
    <col min="12" max="12" width="12.85546875" style="80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36.75" customHeight="1">
      <c r="A2" s="1"/>
      <c r="B2" s="1"/>
      <c r="C2" s="1"/>
      <c r="D2" s="1"/>
      <c r="E2" s="1"/>
      <c r="F2" s="4" t="s">
        <v>1</v>
      </c>
      <c r="H2" s="1"/>
      <c r="I2" s="1"/>
      <c r="J2" s="1"/>
      <c r="K2" s="2"/>
      <c r="L2" s="2"/>
    </row>
    <row r="3" spans="1:12" ht="19.5">
      <c r="A3" s="1"/>
      <c r="B3" s="1"/>
      <c r="C3" s="1"/>
      <c r="D3" s="1"/>
      <c r="E3" s="1"/>
      <c r="F3" s="4" t="s">
        <v>47</v>
      </c>
      <c r="H3" s="1"/>
      <c r="I3" s="1"/>
      <c r="J3" s="1"/>
      <c r="K3" s="2"/>
      <c r="L3" s="2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5" t="s">
        <v>3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6"/>
    </row>
    <row r="6" spans="1:12" ht="15.75">
      <c r="A6" s="7" t="s">
        <v>4</v>
      </c>
      <c r="B6" s="8"/>
      <c r="C6" s="9" t="s">
        <v>5</v>
      </c>
      <c r="D6" s="10"/>
      <c r="E6" s="11"/>
      <c r="F6" s="9" t="s">
        <v>6</v>
      </c>
      <c r="G6" s="10"/>
      <c r="H6" s="11"/>
      <c r="I6" s="9" t="s">
        <v>7</v>
      </c>
      <c r="J6" s="10"/>
      <c r="K6" s="12" t="s">
        <v>8</v>
      </c>
      <c r="L6" s="12" t="s">
        <v>9</v>
      </c>
    </row>
    <row r="7" spans="1:12" ht="15.75">
      <c r="A7" s="13"/>
      <c r="B7" s="14" t="s">
        <v>10</v>
      </c>
      <c r="C7" s="15" t="s">
        <v>11</v>
      </c>
      <c r="D7" s="16" t="s">
        <v>12</v>
      </c>
      <c r="E7" s="17" t="s">
        <v>10</v>
      </c>
      <c r="F7" s="15" t="s">
        <v>11</v>
      </c>
      <c r="G7" s="16" t="s">
        <v>12</v>
      </c>
      <c r="H7" s="17" t="s">
        <v>13</v>
      </c>
      <c r="I7" s="15" t="s">
        <v>14</v>
      </c>
      <c r="J7" s="16" t="s">
        <v>12</v>
      </c>
      <c r="K7" s="18" t="s">
        <v>15</v>
      </c>
      <c r="L7" s="18" t="s">
        <v>16</v>
      </c>
    </row>
    <row r="8" spans="1:12" ht="21" customHeight="1">
      <c r="A8" s="19" t="s">
        <v>17</v>
      </c>
      <c r="B8" s="20">
        <v>319923</v>
      </c>
      <c r="C8" s="21">
        <v>233727</v>
      </c>
      <c r="D8" s="22">
        <v>86196</v>
      </c>
      <c r="E8" s="23">
        <v>313907</v>
      </c>
      <c r="F8" s="21">
        <v>254738</v>
      </c>
      <c r="G8" s="24">
        <v>59169</v>
      </c>
      <c r="H8" s="23">
        <v>47247</v>
      </c>
      <c r="I8" s="25">
        <v>15347</v>
      </c>
      <c r="J8" s="26">
        <v>31900</v>
      </c>
      <c r="K8" s="27">
        <v>45409</v>
      </c>
      <c r="L8" s="28">
        <v>6978</v>
      </c>
    </row>
    <row r="9" spans="1:12" ht="18" customHeight="1">
      <c r="A9" s="29" t="s">
        <v>18</v>
      </c>
      <c r="B9" s="30">
        <v>3469</v>
      </c>
      <c r="C9" s="31">
        <v>0</v>
      </c>
      <c r="D9" s="32">
        <v>3469</v>
      </c>
      <c r="E9" s="33">
        <v>430</v>
      </c>
      <c r="F9" s="31">
        <v>0</v>
      </c>
      <c r="G9" s="34">
        <v>430</v>
      </c>
      <c r="H9" s="33">
        <v>0</v>
      </c>
      <c r="I9" s="35">
        <v>307</v>
      </c>
      <c r="J9" s="32">
        <v>-307</v>
      </c>
      <c r="K9" s="36">
        <v>934</v>
      </c>
      <c r="L9" s="37">
        <v>1581</v>
      </c>
    </row>
    <row r="10" spans="1:12" ht="18" customHeight="1">
      <c r="A10" s="29" t="s">
        <v>19</v>
      </c>
      <c r="B10" s="30">
        <v>36466</v>
      </c>
      <c r="C10" s="31">
        <v>12919</v>
      </c>
      <c r="D10" s="32">
        <v>23547</v>
      </c>
      <c r="E10" s="33">
        <v>19052</v>
      </c>
      <c r="F10" s="31">
        <v>5198</v>
      </c>
      <c r="G10" s="34">
        <v>13854</v>
      </c>
      <c r="H10" s="33">
        <v>531</v>
      </c>
      <c r="I10" s="35">
        <v>2255</v>
      </c>
      <c r="J10" s="32">
        <v>-1724</v>
      </c>
      <c r="K10" s="36">
        <v>6913</v>
      </c>
      <c r="L10" s="37">
        <v>4099</v>
      </c>
    </row>
    <row r="11" spans="1:12" ht="18" customHeight="1">
      <c r="A11" s="29" t="s">
        <v>20</v>
      </c>
      <c r="B11" s="30">
        <v>10694</v>
      </c>
      <c r="C11" s="31">
        <v>2060</v>
      </c>
      <c r="D11" s="32">
        <v>8634</v>
      </c>
      <c r="E11" s="33">
        <v>9253</v>
      </c>
      <c r="F11" s="31">
        <v>2076</v>
      </c>
      <c r="G11" s="34">
        <v>7177</v>
      </c>
      <c r="H11" s="33">
        <v>645</v>
      </c>
      <c r="I11" s="35">
        <v>195</v>
      </c>
      <c r="J11" s="32">
        <v>450</v>
      </c>
      <c r="K11" s="36">
        <v>3280</v>
      </c>
      <c r="L11" s="37">
        <v>5589</v>
      </c>
    </row>
    <row r="12" spans="1:12" ht="18" customHeight="1">
      <c r="A12" s="29" t="s">
        <v>21</v>
      </c>
      <c r="B12" s="30">
        <v>167010</v>
      </c>
      <c r="C12" s="31">
        <v>118871</v>
      </c>
      <c r="D12" s="32">
        <v>48139</v>
      </c>
      <c r="E12" s="33">
        <v>85757</v>
      </c>
      <c r="F12" s="31">
        <v>63791</v>
      </c>
      <c r="G12" s="34">
        <v>21966</v>
      </c>
      <c r="H12" s="33">
        <v>25569</v>
      </c>
      <c r="I12" s="35">
        <v>19343</v>
      </c>
      <c r="J12" s="32">
        <v>6226</v>
      </c>
      <c r="K12" s="36">
        <v>18867</v>
      </c>
      <c r="L12" s="37">
        <v>5703</v>
      </c>
    </row>
    <row r="13" spans="1:12" ht="18" customHeight="1">
      <c r="A13" s="29" t="s">
        <v>22</v>
      </c>
      <c r="B13" s="30">
        <v>0</v>
      </c>
      <c r="C13" s="31">
        <v>0</v>
      </c>
      <c r="D13" s="32">
        <v>0</v>
      </c>
      <c r="E13" s="33">
        <v>40</v>
      </c>
      <c r="F13" s="31">
        <v>0</v>
      </c>
      <c r="G13" s="34">
        <v>40</v>
      </c>
      <c r="H13" s="33">
        <v>0</v>
      </c>
      <c r="I13" s="35">
        <v>500</v>
      </c>
      <c r="J13" s="32">
        <v>-500</v>
      </c>
      <c r="K13" s="36">
        <v>197</v>
      </c>
      <c r="L13" s="37">
        <v>1758</v>
      </c>
    </row>
    <row r="14" spans="1:12" ht="18" customHeight="1">
      <c r="A14" s="29" t="s">
        <v>23</v>
      </c>
      <c r="B14" s="30">
        <v>229980</v>
      </c>
      <c r="C14" s="31">
        <v>82969</v>
      </c>
      <c r="D14" s="32">
        <v>147011</v>
      </c>
      <c r="E14" s="33">
        <v>192272</v>
      </c>
      <c r="F14" s="31">
        <v>92355</v>
      </c>
      <c r="G14" s="34">
        <v>99917</v>
      </c>
      <c r="H14" s="33">
        <v>17967</v>
      </c>
      <c r="I14" s="35">
        <v>20279</v>
      </c>
      <c r="J14" s="32">
        <v>-2312</v>
      </c>
      <c r="K14" s="36">
        <v>35572</v>
      </c>
      <c r="L14" s="37">
        <v>-49977</v>
      </c>
    </row>
    <row r="15" spans="1:12" ht="18" customHeight="1">
      <c r="A15" s="29" t="s">
        <v>24</v>
      </c>
      <c r="B15" s="30">
        <v>90434</v>
      </c>
      <c r="C15" s="31">
        <v>9041</v>
      </c>
      <c r="D15" s="32">
        <v>81393</v>
      </c>
      <c r="E15" s="33">
        <v>57838</v>
      </c>
      <c r="F15" s="31">
        <v>5825</v>
      </c>
      <c r="G15" s="34">
        <v>52013</v>
      </c>
      <c r="H15" s="33">
        <v>1721</v>
      </c>
      <c r="I15" s="35">
        <v>9655</v>
      </c>
      <c r="J15" s="32">
        <v>-7934</v>
      </c>
      <c r="K15" s="36">
        <v>17478</v>
      </c>
      <c r="L15" s="37">
        <v>4874</v>
      </c>
    </row>
    <row r="16" spans="1:12" ht="18" customHeight="1">
      <c r="A16" s="29" t="s">
        <v>25</v>
      </c>
      <c r="B16" s="30">
        <v>0</v>
      </c>
      <c r="C16" s="31">
        <v>0</v>
      </c>
      <c r="D16" s="32">
        <v>0</v>
      </c>
      <c r="E16" s="33">
        <v>0</v>
      </c>
      <c r="F16" s="31">
        <v>0</v>
      </c>
      <c r="G16" s="34">
        <v>0</v>
      </c>
      <c r="H16" s="33">
        <v>0</v>
      </c>
      <c r="I16" s="35">
        <v>0</v>
      </c>
      <c r="J16" s="32">
        <v>0</v>
      </c>
      <c r="K16" s="36">
        <v>0</v>
      </c>
      <c r="L16" s="37">
        <v>0</v>
      </c>
    </row>
    <row r="17" spans="1:13" ht="18" customHeight="1">
      <c r="A17" s="29" t="s">
        <v>26</v>
      </c>
      <c r="B17" s="30">
        <v>342082</v>
      </c>
      <c r="C17" s="31">
        <v>179126</v>
      </c>
      <c r="D17" s="32">
        <v>162956</v>
      </c>
      <c r="E17" s="33">
        <v>131914</v>
      </c>
      <c r="F17" s="31">
        <v>23214</v>
      </c>
      <c r="G17" s="34">
        <v>108700</v>
      </c>
      <c r="H17" s="33">
        <v>29470</v>
      </c>
      <c r="I17" s="35">
        <v>28213</v>
      </c>
      <c r="J17" s="32">
        <v>1257</v>
      </c>
      <c r="K17" s="36">
        <v>28187</v>
      </c>
      <c r="L17" s="37">
        <v>15169</v>
      </c>
    </row>
    <row r="18" spans="1:13" ht="18" customHeight="1">
      <c r="A18" s="29" t="s">
        <v>27</v>
      </c>
      <c r="B18" s="30">
        <v>331887</v>
      </c>
      <c r="C18" s="31">
        <v>135529</v>
      </c>
      <c r="D18" s="32">
        <v>196358</v>
      </c>
      <c r="E18" s="33">
        <v>182047</v>
      </c>
      <c r="F18" s="31">
        <v>49319</v>
      </c>
      <c r="G18" s="34">
        <v>132728</v>
      </c>
      <c r="H18" s="33">
        <v>25942</v>
      </c>
      <c r="I18" s="35">
        <v>34990</v>
      </c>
      <c r="J18" s="32">
        <v>-9048</v>
      </c>
      <c r="K18" s="36">
        <v>22139</v>
      </c>
      <c r="L18" s="37">
        <v>36471</v>
      </c>
    </row>
    <row r="19" spans="1:13" ht="18" customHeight="1">
      <c r="A19" s="29" t="s">
        <v>28</v>
      </c>
      <c r="B19" s="30">
        <v>77320</v>
      </c>
      <c r="C19" s="31">
        <v>19237</v>
      </c>
      <c r="D19" s="32">
        <v>58083</v>
      </c>
      <c r="E19" s="33">
        <v>59491</v>
      </c>
      <c r="F19" s="31">
        <v>22949</v>
      </c>
      <c r="G19" s="34">
        <v>36542</v>
      </c>
      <c r="H19" s="33">
        <v>3921</v>
      </c>
      <c r="I19" s="35">
        <v>5505</v>
      </c>
      <c r="J19" s="32">
        <v>-1584</v>
      </c>
      <c r="K19" s="36">
        <v>19552</v>
      </c>
      <c r="L19" s="37">
        <v>6246</v>
      </c>
    </row>
    <row r="20" spans="1:13" s="48" customFormat="1" ht="18" hidden="1" customHeight="1">
      <c r="A20" s="38" t="s">
        <v>29</v>
      </c>
      <c r="B20" s="39">
        <v>0</v>
      </c>
      <c r="C20" s="40">
        <v>0</v>
      </c>
      <c r="D20" s="41">
        <v>0</v>
      </c>
      <c r="E20" s="42">
        <v>0</v>
      </c>
      <c r="F20" s="40">
        <v>0</v>
      </c>
      <c r="G20" s="43">
        <v>0</v>
      </c>
      <c r="H20" s="42">
        <v>0</v>
      </c>
      <c r="I20" s="44">
        <v>0</v>
      </c>
      <c r="J20" s="45">
        <v>0</v>
      </c>
      <c r="K20" s="46">
        <v>0</v>
      </c>
      <c r="L20" s="47">
        <v>0</v>
      </c>
    </row>
    <row r="21" spans="1:13" ht="18" customHeight="1">
      <c r="A21" s="29" t="s">
        <v>30</v>
      </c>
      <c r="B21" s="30">
        <v>255280</v>
      </c>
      <c r="C21" s="31">
        <v>183922</v>
      </c>
      <c r="D21" s="32">
        <v>71358</v>
      </c>
      <c r="E21" s="33">
        <v>121608</v>
      </c>
      <c r="F21" s="31">
        <v>71950</v>
      </c>
      <c r="G21" s="34">
        <v>49658</v>
      </c>
      <c r="H21" s="33">
        <v>22577</v>
      </c>
      <c r="I21" s="35">
        <v>4497</v>
      </c>
      <c r="J21" s="32">
        <v>18080</v>
      </c>
      <c r="K21" s="36">
        <v>96876</v>
      </c>
      <c r="L21" s="37">
        <v>129207</v>
      </c>
    </row>
    <row r="22" spans="1:13" ht="18" customHeight="1">
      <c r="A22" s="29" t="s">
        <v>31</v>
      </c>
      <c r="B22" s="30">
        <v>83731</v>
      </c>
      <c r="C22" s="31">
        <v>2480</v>
      </c>
      <c r="D22" s="32">
        <v>81251</v>
      </c>
      <c r="E22" s="33">
        <v>52635</v>
      </c>
      <c r="F22" s="31">
        <v>9587</v>
      </c>
      <c r="G22" s="34">
        <v>43048</v>
      </c>
      <c r="H22" s="33">
        <v>445</v>
      </c>
      <c r="I22" s="35">
        <v>11906</v>
      </c>
      <c r="J22" s="32">
        <v>-11461</v>
      </c>
      <c r="K22" s="36">
        <v>14661</v>
      </c>
      <c r="L22" s="37">
        <v>4455</v>
      </c>
      <c r="M22" s="49"/>
    </row>
    <row r="23" spans="1:13" ht="18" customHeight="1">
      <c r="A23" s="29" t="s">
        <v>32</v>
      </c>
      <c r="B23" s="30">
        <v>108245</v>
      </c>
      <c r="C23" s="31">
        <v>30875</v>
      </c>
      <c r="D23" s="32">
        <v>77370</v>
      </c>
      <c r="E23" s="33">
        <v>61934</v>
      </c>
      <c r="F23" s="31">
        <v>5048</v>
      </c>
      <c r="G23" s="34">
        <v>56886</v>
      </c>
      <c r="H23" s="33">
        <v>7202</v>
      </c>
      <c r="I23" s="35">
        <v>9315</v>
      </c>
      <c r="J23" s="32">
        <v>-2113</v>
      </c>
      <c r="K23" s="36">
        <v>23494</v>
      </c>
      <c r="L23" s="37">
        <v>16665</v>
      </c>
    </row>
    <row r="24" spans="1:13" ht="17.25" customHeight="1">
      <c r="A24" s="29" t="s">
        <v>33</v>
      </c>
      <c r="B24" s="30">
        <v>577273</v>
      </c>
      <c r="C24" s="31">
        <v>361214</v>
      </c>
      <c r="D24" s="32">
        <v>216059</v>
      </c>
      <c r="E24" s="33">
        <v>687344</v>
      </c>
      <c r="F24" s="31">
        <v>557902</v>
      </c>
      <c r="G24" s="34">
        <v>129442</v>
      </c>
      <c r="H24" s="33">
        <v>72206</v>
      </c>
      <c r="I24" s="35">
        <v>51143</v>
      </c>
      <c r="J24" s="32">
        <v>21063</v>
      </c>
      <c r="K24" s="36">
        <v>91687</v>
      </c>
      <c r="L24" s="37">
        <v>54482</v>
      </c>
      <c r="M24" s="49"/>
    </row>
    <row r="25" spans="1:13" s="58" customFormat="1" ht="21" customHeight="1">
      <c r="A25" s="50" t="s">
        <v>34</v>
      </c>
      <c r="B25" s="51">
        <v>2633794</v>
      </c>
      <c r="C25" s="52">
        <v>1371970</v>
      </c>
      <c r="D25" s="53">
        <v>1261824</v>
      </c>
      <c r="E25" s="54">
        <v>1975522</v>
      </c>
      <c r="F25" s="55">
        <v>1163952</v>
      </c>
      <c r="G25" s="53">
        <v>811570</v>
      </c>
      <c r="H25" s="51">
        <v>255443</v>
      </c>
      <c r="I25" s="55">
        <v>213450</v>
      </c>
      <c r="J25" s="53">
        <v>41993</v>
      </c>
      <c r="K25" s="56">
        <v>425246</v>
      </c>
      <c r="L25" s="57">
        <v>243300</v>
      </c>
    </row>
    <row r="26" spans="1:13" ht="18" hidden="1" customHeight="1">
      <c r="A26" s="59" t="s">
        <v>35</v>
      </c>
      <c r="B26" s="30">
        <v>0</v>
      </c>
      <c r="C26" s="31">
        <v>0</v>
      </c>
      <c r="D26" s="32">
        <v>0</v>
      </c>
      <c r="E26" s="33">
        <v>0</v>
      </c>
      <c r="F26" s="31">
        <v>0</v>
      </c>
      <c r="G26" s="34">
        <v>0</v>
      </c>
      <c r="H26" s="33">
        <v>0</v>
      </c>
      <c r="I26" s="35">
        <v>0</v>
      </c>
      <c r="J26" s="32">
        <v>0</v>
      </c>
      <c r="K26" s="36">
        <v>0</v>
      </c>
      <c r="L26" s="37">
        <v>0</v>
      </c>
    </row>
    <row r="27" spans="1:13" s="69" customFormat="1" ht="18" customHeight="1">
      <c r="A27" s="60" t="s">
        <v>36</v>
      </c>
      <c r="B27" s="61">
        <v>95354</v>
      </c>
      <c r="C27" s="62">
        <v>26336</v>
      </c>
      <c r="D27" s="63">
        <v>69018</v>
      </c>
      <c r="E27" s="64">
        <v>41151</v>
      </c>
      <c r="F27" s="62">
        <v>5584</v>
      </c>
      <c r="G27" s="65">
        <v>35567</v>
      </c>
      <c r="H27" s="64">
        <v>4679</v>
      </c>
      <c r="I27" s="66">
        <v>12250</v>
      </c>
      <c r="J27" s="63">
        <v>-7571</v>
      </c>
      <c r="K27" s="67">
        <v>8576</v>
      </c>
      <c r="L27" s="68">
        <v>12044</v>
      </c>
    </row>
    <row r="28" spans="1:13" s="58" customFormat="1" ht="21" customHeight="1">
      <c r="A28" s="50" t="s">
        <v>37</v>
      </c>
      <c r="B28" s="51">
        <v>95354</v>
      </c>
      <c r="C28" s="52">
        <v>26336</v>
      </c>
      <c r="D28" s="53">
        <v>69018</v>
      </c>
      <c r="E28" s="54">
        <v>41151</v>
      </c>
      <c r="F28" s="55">
        <v>5584</v>
      </c>
      <c r="G28" s="53">
        <v>35567</v>
      </c>
      <c r="H28" s="51">
        <v>4679</v>
      </c>
      <c r="I28" s="55">
        <v>12250</v>
      </c>
      <c r="J28" s="53">
        <v>-7571</v>
      </c>
      <c r="K28" s="56">
        <v>8576</v>
      </c>
      <c r="L28" s="70">
        <v>12044</v>
      </c>
    </row>
    <row r="29" spans="1:13" ht="24" customHeight="1">
      <c r="A29" s="71" t="s">
        <v>38</v>
      </c>
      <c r="B29" s="72">
        <v>2729148</v>
      </c>
      <c r="C29" s="73">
        <v>1398306</v>
      </c>
      <c r="D29" s="74">
        <v>1330842</v>
      </c>
      <c r="E29" s="75">
        <v>2016673</v>
      </c>
      <c r="F29" s="76">
        <v>1169536</v>
      </c>
      <c r="G29" s="74">
        <v>847137</v>
      </c>
      <c r="H29" s="72">
        <v>260122</v>
      </c>
      <c r="I29" s="76">
        <v>225700</v>
      </c>
      <c r="J29" s="74">
        <v>34422</v>
      </c>
      <c r="K29" s="77">
        <v>433822</v>
      </c>
      <c r="L29" s="78">
        <v>255344</v>
      </c>
    </row>
    <row r="30" spans="1:13" ht="24.75" customHeight="1">
      <c r="A30" s="79" t="s">
        <v>39</v>
      </c>
    </row>
  </sheetData>
  <phoneticPr fontId="15" type="noConversion"/>
  <printOptions horizontalCentered="1"/>
  <pageMargins left="0.5" right="0.5" top="0.75" bottom="0.75" header="0.5" footer="0.5"/>
  <pageSetup paperSize="9" scale="9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27" customWidth="1"/>
    <col min="2" max="2" width="11.7109375" customWidth="1"/>
    <col min="3" max="3" width="13" customWidth="1"/>
    <col min="4" max="5" width="11.28515625" customWidth="1"/>
    <col min="6" max="6" width="12.85546875" customWidth="1"/>
    <col min="7" max="8" width="9.7109375" customWidth="1"/>
    <col min="9" max="9" width="11.7109375" customWidth="1"/>
    <col min="10" max="10" width="8.140625" customWidth="1"/>
    <col min="11" max="11" width="13.5703125" style="80" customWidth="1"/>
    <col min="12" max="12" width="12.85546875" style="80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</row>
    <row r="2" spans="1:12" ht="36.75" customHeight="1">
      <c r="A2" s="1"/>
      <c r="B2" s="1"/>
      <c r="C2" s="1"/>
      <c r="D2" s="1"/>
      <c r="E2" s="1"/>
      <c r="F2" s="4" t="s">
        <v>1</v>
      </c>
      <c r="H2" s="1"/>
      <c r="I2" s="1"/>
      <c r="J2" s="1"/>
      <c r="K2" s="2"/>
      <c r="L2" s="2"/>
    </row>
    <row r="3" spans="1:12" ht="19.5">
      <c r="A3" s="1"/>
      <c r="B3" s="1"/>
      <c r="C3" s="1"/>
      <c r="D3" s="1"/>
      <c r="E3" s="1"/>
      <c r="F3" s="4" t="s">
        <v>2</v>
      </c>
      <c r="H3" s="1"/>
      <c r="I3" s="1"/>
      <c r="J3" s="1"/>
      <c r="K3" s="2"/>
      <c r="L3" s="2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5" t="s">
        <v>3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6"/>
    </row>
    <row r="6" spans="1:12" ht="15.75">
      <c r="A6" s="7" t="s">
        <v>4</v>
      </c>
      <c r="B6" s="8"/>
      <c r="C6" s="9" t="s">
        <v>5</v>
      </c>
      <c r="D6" s="10"/>
      <c r="E6" s="11"/>
      <c r="F6" s="9" t="s">
        <v>6</v>
      </c>
      <c r="G6" s="10"/>
      <c r="H6" s="11"/>
      <c r="I6" s="9" t="s">
        <v>7</v>
      </c>
      <c r="J6" s="10"/>
      <c r="K6" s="12" t="s">
        <v>8</v>
      </c>
      <c r="L6" s="12" t="s">
        <v>9</v>
      </c>
    </row>
    <row r="7" spans="1:12" ht="15.75">
      <c r="A7" s="13"/>
      <c r="B7" s="14" t="s">
        <v>10</v>
      </c>
      <c r="C7" s="15" t="s">
        <v>11</v>
      </c>
      <c r="D7" s="16" t="s">
        <v>12</v>
      </c>
      <c r="E7" s="17" t="s">
        <v>10</v>
      </c>
      <c r="F7" s="15" t="s">
        <v>11</v>
      </c>
      <c r="G7" s="16" t="s">
        <v>12</v>
      </c>
      <c r="H7" s="17" t="s">
        <v>13</v>
      </c>
      <c r="I7" s="15" t="s">
        <v>14</v>
      </c>
      <c r="J7" s="16" t="s">
        <v>12</v>
      </c>
      <c r="K7" s="18" t="s">
        <v>15</v>
      </c>
      <c r="L7" s="18" t="s">
        <v>16</v>
      </c>
    </row>
    <row r="8" spans="1:12" ht="21" customHeight="1">
      <c r="A8" s="19" t="s">
        <v>17</v>
      </c>
      <c r="B8" s="20">
        <v>280742</v>
      </c>
      <c r="C8" s="21">
        <v>202946</v>
      </c>
      <c r="D8" s="22">
        <v>77796</v>
      </c>
      <c r="E8" s="23">
        <v>95204</v>
      </c>
      <c r="F8" s="21">
        <v>51839</v>
      </c>
      <c r="G8" s="24">
        <v>43365</v>
      </c>
      <c r="H8" s="23">
        <v>45301</v>
      </c>
      <c r="I8" s="25">
        <v>13281</v>
      </c>
      <c r="J8" s="26">
        <v>32020</v>
      </c>
      <c r="K8" s="27">
        <v>39587</v>
      </c>
      <c r="L8" s="28">
        <v>6579</v>
      </c>
    </row>
    <row r="9" spans="1:12" ht="18" customHeight="1">
      <c r="A9" s="29" t="s">
        <v>18</v>
      </c>
      <c r="B9" s="30">
        <v>7338</v>
      </c>
      <c r="C9" s="31">
        <v>0</v>
      </c>
      <c r="D9" s="32">
        <v>7338</v>
      </c>
      <c r="E9" s="33">
        <v>7642</v>
      </c>
      <c r="F9" s="31">
        <v>0</v>
      </c>
      <c r="G9" s="34">
        <v>7642</v>
      </c>
      <c r="H9" s="33">
        <v>0</v>
      </c>
      <c r="I9" s="35">
        <v>2229</v>
      </c>
      <c r="J9" s="32">
        <v>-2229</v>
      </c>
      <c r="K9" s="36">
        <v>1907</v>
      </c>
      <c r="L9" s="37">
        <v>2601</v>
      </c>
    </row>
    <row r="10" spans="1:12" ht="18" customHeight="1">
      <c r="A10" s="29" t="s">
        <v>19</v>
      </c>
      <c r="B10" s="30">
        <v>20870</v>
      </c>
      <c r="C10" s="31">
        <v>3210</v>
      </c>
      <c r="D10" s="32">
        <v>17660</v>
      </c>
      <c r="E10" s="33">
        <v>18720</v>
      </c>
      <c r="F10" s="31">
        <v>6450</v>
      </c>
      <c r="G10" s="34">
        <v>12270</v>
      </c>
      <c r="H10" s="33">
        <v>485</v>
      </c>
      <c r="I10" s="35">
        <v>1556</v>
      </c>
      <c r="J10" s="32">
        <v>-1071</v>
      </c>
      <c r="K10" s="36">
        <v>6400</v>
      </c>
      <c r="L10" s="37">
        <v>4099</v>
      </c>
    </row>
    <row r="11" spans="1:12" ht="18" customHeight="1">
      <c r="A11" s="29" t="s">
        <v>20</v>
      </c>
      <c r="B11" s="30">
        <v>9348</v>
      </c>
      <c r="C11" s="31">
        <v>634</v>
      </c>
      <c r="D11" s="32">
        <v>8714</v>
      </c>
      <c r="E11" s="33">
        <v>4066</v>
      </c>
      <c r="F11" s="31">
        <v>0</v>
      </c>
      <c r="G11" s="34">
        <v>4066</v>
      </c>
      <c r="H11" s="33">
        <v>265</v>
      </c>
      <c r="I11" s="35">
        <v>153</v>
      </c>
      <c r="J11" s="32">
        <v>112</v>
      </c>
      <c r="K11" s="36">
        <v>3228</v>
      </c>
      <c r="L11" s="37">
        <v>3029</v>
      </c>
    </row>
    <row r="12" spans="1:12" ht="18" customHeight="1">
      <c r="A12" s="29" t="s">
        <v>21</v>
      </c>
      <c r="B12" s="30">
        <v>141085</v>
      </c>
      <c r="C12" s="31">
        <v>118018</v>
      </c>
      <c r="D12" s="32">
        <v>23067</v>
      </c>
      <c r="E12" s="33">
        <v>79587</v>
      </c>
      <c r="F12" s="31">
        <v>59315</v>
      </c>
      <c r="G12" s="34">
        <v>20272</v>
      </c>
      <c r="H12" s="33">
        <v>26717</v>
      </c>
      <c r="I12" s="35">
        <v>14791</v>
      </c>
      <c r="J12" s="32">
        <v>11926</v>
      </c>
      <c r="K12" s="36">
        <v>17909</v>
      </c>
      <c r="L12" s="37">
        <v>5723</v>
      </c>
    </row>
    <row r="13" spans="1:12" ht="18" customHeight="1">
      <c r="A13" s="29" t="s">
        <v>22</v>
      </c>
      <c r="B13" s="30">
        <v>55905</v>
      </c>
      <c r="C13" s="31">
        <v>44657</v>
      </c>
      <c r="D13" s="32">
        <v>11248</v>
      </c>
      <c r="E13" s="33">
        <v>38242</v>
      </c>
      <c r="F13" s="31">
        <v>30883</v>
      </c>
      <c r="G13" s="34">
        <v>7359</v>
      </c>
      <c r="H13" s="33">
        <v>14321</v>
      </c>
      <c r="I13" s="35">
        <v>5577</v>
      </c>
      <c r="J13" s="32">
        <v>8744</v>
      </c>
      <c r="K13" s="36">
        <v>18153</v>
      </c>
      <c r="L13" s="37">
        <v>4204</v>
      </c>
    </row>
    <row r="14" spans="1:12" ht="18" customHeight="1">
      <c r="A14" s="29" t="s">
        <v>23</v>
      </c>
      <c r="B14" s="30">
        <v>209840</v>
      </c>
      <c r="C14" s="31">
        <v>69993</v>
      </c>
      <c r="D14" s="32">
        <v>139847</v>
      </c>
      <c r="E14" s="33">
        <v>129151</v>
      </c>
      <c r="F14" s="31">
        <v>52677</v>
      </c>
      <c r="G14" s="34">
        <v>76474</v>
      </c>
      <c r="H14" s="33">
        <v>16699</v>
      </c>
      <c r="I14" s="35">
        <v>23734</v>
      </c>
      <c r="J14" s="32">
        <v>-7035</v>
      </c>
      <c r="K14" s="36">
        <v>31400</v>
      </c>
      <c r="L14" s="37">
        <v>12550</v>
      </c>
    </row>
    <row r="15" spans="1:12" ht="18" customHeight="1">
      <c r="A15" s="29" t="s">
        <v>24</v>
      </c>
      <c r="B15" s="30">
        <v>85109</v>
      </c>
      <c r="C15" s="31">
        <v>9123</v>
      </c>
      <c r="D15" s="32">
        <v>75986</v>
      </c>
      <c r="E15" s="33">
        <v>55445</v>
      </c>
      <c r="F15" s="31">
        <v>3896</v>
      </c>
      <c r="G15" s="34">
        <v>51549</v>
      </c>
      <c r="H15" s="33">
        <v>1749</v>
      </c>
      <c r="I15" s="35">
        <v>8663</v>
      </c>
      <c r="J15" s="32">
        <v>-6914</v>
      </c>
      <c r="K15" s="36">
        <v>16047</v>
      </c>
      <c r="L15" s="37">
        <v>4782</v>
      </c>
    </row>
    <row r="16" spans="1:12" ht="18" customHeight="1">
      <c r="A16" s="29" t="s">
        <v>25</v>
      </c>
      <c r="B16" s="30">
        <v>21411</v>
      </c>
      <c r="C16" s="31">
        <v>1548</v>
      </c>
      <c r="D16" s="32">
        <v>19863</v>
      </c>
      <c r="E16" s="33">
        <v>15681</v>
      </c>
      <c r="F16" s="31">
        <v>15681</v>
      </c>
      <c r="G16" s="34">
        <v>0</v>
      </c>
      <c r="H16" s="33">
        <v>0</v>
      </c>
      <c r="I16" s="35">
        <v>3271</v>
      </c>
      <c r="J16" s="32">
        <v>-3271</v>
      </c>
      <c r="K16" s="36">
        <v>7574</v>
      </c>
      <c r="L16" s="37">
        <v>783</v>
      </c>
    </row>
    <row r="17" spans="1:13" ht="18" customHeight="1">
      <c r="A17" s="29" t="s">
        <v>26</v>
      </c>
      <c r="B17" s="30">
        <v>284598</v>
      </c>
      <c r="C17" s="31">
        <v>151971</v>
      </c>
      <c r="D17" s="32">
        <v>132627</v>
      </c>
      <c r="E17" s="33">
        <v>109614</v>
      </c>
      <c r="F17" s="31">
        <v>34449</v>
      </c>
      <c r="G17" s="34">
        <v>75165</v>
      </c>
      <c r="H17" s="33">
        <v>28503</v>
      </c>
      <c r="I17" s="35">
        <v>19663</v>
      </c>
      <c r="J17" s="32">
        <v>8840</v>
      </c>
      <c r="K17" s="36">
        <v>22275</v>
      </c>
      <c r="L17" s="37">
        <v>15022</v>
      </c>
    </row>
    <row r="18" spans="1:13" ht="18" customHeight="1">
      <c r="A18" s="29" t="s">
        <v>27</v>
      </c>
      <c r="B18" s="30">
        <v>298934</v>
      </c>
      <c r="C18" s="31">
        <v>120594</v>
      </c>
      <c r="D18" s="32">
        <v>178340</v>
      </c>
      <c r="E18" s="33">
        <v>183691</v>
      </c>
      <c r="F18" s="31">
        <v>62949</v>
      </c>
      <c r="G18" s="34">
        <v>120742</v>
      </c>
      <c r="H18" s="33">
        <v>26327</v>
      </c>
      <c r="I18" s="35">
        <v>34795</v>
      </c>
      <c r="J18" s="32">
        <v>-8468</v>
      </c>
      <c r="K18" s="36">
        <v>18146</v>
      </c>
      <c r="L18" s="37">
        <v>35386</v>
      </c>
    </row>
    <row r="19" spans="1:13" ht="18" customHeight="1">
      <c r="A19" s="29" t="s">
        <v>28</v>
      </c>
      <c r="B19" s="30">
        <v>72524</v>
      </c>
      <c r="C19" s="31">
        <v>18373</v>
      </c>
      <c r="D19" s="32">
        <v>54151</v>
      </c>
      <c r="E19" s="33">
        <v>48463</v>
      </c>
      <c r="F19" s="31">
        <v>12944</v>
      </c>
      <c r="G19" s="34">
        <v>35519</v>
      </c>
      <c r="H19" s="33">
        <v>3866</v>
      </c>
      <c r="I19" s="35">
        <v>3530</v>
      </c>
      <c r="J19" s="32">
        <v>336</v>
      </c>
      <c r="K19" s="36">
        <v>20512</v>
      </c>
      <c r="L19" s="37">
        <v>5494</v>
      </c>
    </row>
    <row r="20" spans="1:13" s="48" customFormat="1" ht="18" hidden="1" customHeight="1">
      <c r="A20" s="38" t="s">
        <v>29</v>
      </c>
      <c r="B20" s="39">
        <v>0</v>
      </c>
      <c r="C20" s="40">
        <v>0</v>
      </c>
      <c r="D20" s="41">
        <v>0</v>
      </c>
      <c r="E20" s="42">
        <v>0</v>
      </c>
      <c r="F20" s="40">
        <v>0</v>
      </c>
      <c r="G20" s="43">
        <v>0</v>
      </c>
      <c r="H20" s="42">
        <v>0</v>
      </c>
      <c r="I20" s="44">
        <v>0</v>
      </c>
      <c r="J20" s="45">
        <v>0</v>
      </c>
      <c r="K20" s="46">
        <v>0</v>
      </c>
      <c r="L20" s="47">
        <v>0</v>
      </c>
    </row>
    <row r="21" spans="1:13" ht="18" customHeight="1">
      <c r="A21" s="29" t="s">
        <v>30</v>
      </c>
      <c r="B21" s="30">
        <v>175623</v>
      </c>
      <c r="C21" s="31">
        <v>106416</v>
      </c>
      <c r="D21" s="32">
        <v>69207</v>
      </c>
      <c r="E21" s="33">
        <v>64171</v>
      </c>
      <c r="F21" s="31">
        <v>21554</v>
      </c>
      <c r="G21" s="34">
        <v>42617</v>
      </c>
      <c r="H21" s="33">
        <v>17991</v>
      </c>
      <c r="I21" s="35">
        <v>2776</v>
      </c>
      <c r="J21" s="32">
        <v>15215</v>
      </c>
      <c r="K21" s="36">
        <v>87564</v>
      </c>
      <c r="L21" s="37">
        <v>104938</v>
      </c>
    </row>
    <row r="22" spans="1:13" ht="18" customHeight="1">
      <c r="A22" s="29" t="s">
        <v>31</v>
      </c>
      <c r="B22" s="30">
        <v>38497</v>
      </c>
      <c r="C22" s="31">
        <v>4676</v>
      </c>
      <c r="D22" s="32">
        <v>33821</v>
      </c>
      <c r="E22" s="33">
        <v>3437</v>
      </c>
      <c r="F22" s="31">
        <v>-15190</v>
      </c>
      <c r="G22" s="34">
        <v>18627</v>
      </c>
      <c r="H22" s="33">
        <v>421</v>
      </c>
      <c r="I22" s="35">
        <v>2847</v>
      </c>
      <c r="J22" s="32">
        <v>-2426</v>
      </c>
      <c r="K22" s="36">
        <v>8757</v>
      </c>
      <c r="L22" s="37">
        <v>1686</v>
      </c>
      <c r="M22" s="49"/>
    </row>
    <row r="23" spans="1:13" ht="18" customHeight="1">
      <c r="A23" s="29" t="s">
        <v>32</v>
      </c>
      <c r="B23" s="30">
        <v>99002</v>
      </c>
      <c r="C23" s="31">
        <v>20958</v>
      </c>
      <c r="D23" s="32">
        <v>78044</v>
      </c>
      <c r="E23" s="33">
        <v>55477</v>
      </c>
      <c r="F23" s="31">
        <v>4363</v>
      </c>
      <c r="G23" s="34">
        <v>51114</v>
      </c>
      <c r="H23" s="33">
        <v>4531</v>
      </c>
      <c r="I23" s="35">
        <v>8033</v>
      </c>
      <c r="J23" s="32">
        <v>-3502</v>
      </c>
      <c r="K23" s="36">
        <v>18549</v>
      </c>
      <c r="L23" s="37">
        <v>16802</v>
      </c>
    </row>
    <row r="24" spans="1:13" ht="17.25" customHeight="1">
      <c r="A24" s="29" t="s">
        <v>33</v>
      </c>
      <c r="B24" s="30">
        <v>546930</v>
      </c>
      <c r="C24" s="31">
        <v>342067</v>
      </c>
      <c r="D24" s="32">
        <v>204863</v>
      </c>
      <c r="E24" s="33">
        <v>439262</v>
      </c>
      <c r="F24" s="31">
        <v>326467</v>
      </c>
      <c r="G24" s="34">
        <v>112795</v>
      </c>
      <c r="H24" s="33">
        <v>69603</v>
      </c>
      <c r="I24" s="35">
        <v>47328</v>
      </c>
      <c r="J24" s="32">
        <v>22275</v>
      </c>
      <c r="K24" s="36">
        <v>84246</v>
      </c>
      <c r="L24" s="37">
        <v>49699</v>
      </c>
      <c r="M24" s="49"/>
    </row>
    <row r="25" spans="1:13" s="58" customFormat="1" ht="21" customHeight="1">
      <c r="A25" s="50" t="s">
        <v>34</v>
      </c>
      <c r="B25" s="51">
        <v>2347756</v>
      </c>
      <c r="C25" s="52">
        <v>1215184</v>
      </c>
      <c r="D25" s="53">
        <v>1132572</v>
      </c>
      <c r="E25" s="54">
        <v>1347853</v>
      </c>
      <c r="F25" s="55">
        <v>668277</v>
      </c>
      <c r="G25" s="53">
        <v>679576</v>
      </c>
      <c r="H25" s="51">
        <v>256779</v>
      </c>
      <c r="I25" s="55">
        <v>192227</v>
      </c>
      <c r="J25" s="53">
        <v>64552</v>
      </c>
      <c r="K25" s="56">
        <v>402254</v>
      </c>
      <c r="L25" s="57">
        <v>273377</v>
      </c>
    </row>
    <row r="26" spans="1:13" ht="18" hidden="1" customHeight="1">
      <c r="A26" s="59" t="s">
        <v>35</v>
      </c>
      <c r="B26" s="30">
        <v>0</v>
      </c>
      <c r="C26" s="31">
        <v>0</v>
      </c>
      <c r="D26" s="32">
        <v>0</v>
      </c>
      <c r="E26" s="33">
        <v>0</v>
      </c>
      <c r="F26" s="31">
        <v>0</v>
      </c>
      <c r="G26" s="34">
        <v>0</v>
      </c>
      <c r="H26" s="33">
        <v>0</v>
      </c>
      <c r="I26" s="35">
        <v>0</v>
      </c>
      <c r="J26" s="32">
        <v>0</v>
      </c>
      <c r="K26" s="36">
        <v>0</v>
      </c>
      <c r="L26" s="37">
        <v>0</v>
      </c>
    </row>
    <row r="27" spans="1:13" s="69" customFormat="1" ht="18" customHeight="1">
      <c r="A27" s="60" t="s">
        <v>36</v>
      </c>
      <c r="B27" s="61">
        <v>95354</v>
      </c>
      <c r="C27" s="62">
        <v>26336</v>
      </c>
      <c r="D27" s="63">
        <v>69018</v>
      </c>
      <c r="E27" s="64">
        <v>41151</v>
      </c>
      <c r="F27" s="62">
        <v>5584</v>
      </c>
      <c r="G27" s="65">
        <v>35567</v>
      </c>
      <c r="H27" s="64">
        <v>4679</v>
      </c>
      <c r="I27" s="66">
        <v>12250</v>
      </c>
      <c r="J27" s="63">
        <v>-7571</v>
      </c>
      <c r="K27" s="67">
        <v>8576</v>
      </c>
      <c r="L27" s="68">
        <v>12044</v>
      </c>
    </row>
    <row r="28" spans="1:13" s="58" customFormat="1" ht="21" customHeight="1">
      <c r="A28" s="50" t="s">
        <v>37</v>
      </c>
      <c r="B28" s="51">
        <v>95354</v>
      </c>
      <c r="C28" s="52">
        <v>26336</v>
      </c>
      <c r="D28" s="53">
        <v>69018</v>
      </c>
      <c r="E28" s="54">
        <v>41151</v>
      </c>
      <c r="F28" s="55">
        <v>5584</v>
      </c>
      <c r="G28" s="53">
        <v>35567</v>
      </c>
      <c r="H28" s="51">
        <v>4679</v>
      </c>
      <c r="I28" s="55">
        <v>12250</v>
      </c>
      <c r="J28" s="53">
        <v>-7571</v>
      </c>
      <c r="K28" s="56">
        <v>8576</v>
      </c>
      <c r="L28" s="70">
        <v>12044</v>
      </c>
    </row>
    <row r="29" spans="1:13" ht="24" customHeight="1">
      <c r="A29" s="71" t="s">
        <v>38</v>
      </c>
      <c r="B29" s="72">
        <v>2443110</v>
      </c>
      <c r="C29" s="73">
        <v>1241520</v>
      </c>
      <c r="D29" s="74">
        <v>1201590</v>
      </c>
      <c r="E29" s="75">
        <v>1389004</v>
      </c>
      <c r="F29" s="76">
        <v>673861</v>
      </c>
      <c r="G29" s="74">
        <v>715143</v>
      </c>
      <c r="H29" s="72">
        <v>261458</v>
      </c>
      <c r="I29" s="76">
        <v>204477</v>
      </c>
      <c r="J29" s="74">
        <v>56981</v>
      </c>
      <c r="K29" s="77">
        <v>410830</v>
      </c>
      <c r="L29" s="78">
        <v>285421</v>
      </c>
    </row>
    <row r="30" spans="1:13" ht="24.75" customHeight="1">
      <c r="A30" s="79" t="s">
        <v>39</v>
      </c>
    </row>
  </sheetData>
  <sheetProtection password="DFED" sheet="1" objects="1" scenarios="1"/>
  <phoneticPr fontId="0" type="noConversion"/>
  <pageMargins left="0.25" right="0.2" top="0.22" bottom="0.22" header="0.25" footer="0.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27" customWidth="1"/>
    <col min="2" max="2" width="11.7109375" customWidth="1"/>
    <col min="3" max="3" width="13" customWidth="1"/>
    <col min="4" max="5" width="11.28515625" customWidth="1"/>
    <col min="6" max="6" width="12.85546875" customWidth="1"/>
    <col min="7" max="8" width="9.7109375" customWidth="1"/>
    <col min="9" max="9" width="11.7109375" customWidth="1"/>
    <col min="10" max="10" width="8.140625" customWidth="1"/>
    <col min="11" max="11" width="13.5703125" style="80" customWidth="1"/>
    <col min="12" max="12" width="12.85546875" style="80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5"/>
    </row>
    <row r="2" spans="1:12" ht="36.75" customHeight="1">
      <c r="A2" s="1"/>
      <c r="B2" s="1"/>
      <c r="C2" s="1"/>
      <c r="D2" s="1"/>
      <c r="E2" s="1"/>
      <c r="F2" s="4" t="s">
        <v>1</v>
      </c>
      <c r="H2" s="1"/>
      <c r="I2" s="1"/>
      <c r="J2" s="1"/>
      <c r="K2" s="2"/>
      <c r="L2" s="2"/>
    </row>
    <row r="3" spans="1:12" ht="19.5">
      <c r="A3" s="1"/>
      <c r="B3" s="1"/>
      <c r="C3" s="1"/>
      <c r="D3" s="1"/>
      <c r="E3" s="1"/>
      <c r="F3" s="4" t="s">
        <v>40</v>
      </c>
      <c r="H3" s="1"/>
      <c r="I3" s="1"/>
      <c r="J3" s="1"/>
      <c r="K3" s="2"/>
      <c r="L3" s="2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5" t="s">
        <v>3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6"/>
    </row>
    <row r="6" spans="1:12" ht="15.75">
      <c r="A6" s="7" t="s">
        <v>4</v>
      </c>
      <c r="B6" s="8"/>
      <c r="C6" s="9" t="s">
        <v>5</v>
      </c>
      <c r="D6" s="10"/>
      <c r="E6" s="11"/>
      <c r="F6" s="9" t="s">
        <v>6</v>
      </c>
      <c r="G6" s="10"/>
      <c r="H6" s="11"/>
      <c r="I6" s="9" t="s">
        <v>7</v>
      </c>
      <c r="J6" s="10"/>
      <c r="K6" s="12" t="s">
        <v>8</v>
      </c>
      <c r="L6" s="12" t="s">
        <v>9</v>
      </c>
    </row>
    <row r="7" spans="1:12" ht="15.75">
      <c r="A7" s="13"/>
      <c r="B7" s="14" t="s">
        <v>10</v>
      </c>
      <c r="C7" s="15" t="s">
        <v>11</v>
      </c>
      <c r="D7" s="16" t="s">
        <v>12</v>
      </c>
      <c r="E7" s="17" t="s">
        <v>10</v>
      </c>
      <c r="F7" s="15" t="s">
        <v>11</v>
      </c>
      <c r="G7" s="16" t="s">
        <v>12</v>
      </c>
      <c r="H7" s="17" t="s">
        <v>13</v>
      </c>
      <c r="I7" s="15" t="s">
        <v>14</v>
      </c>
      <c r="J7" s="16" t="s">
        <v>12</v>
      </c>
      <c r="K7" s="18" t="s">
        <v>15</v>
      </c>
      <c r="L7" s="18" t="s">
        <v>16</v>
      </c>
    </row>
    <row r="8" spans="1:12" ht="21" customHeight="1">
      <c r="A8" s="19" t="s">
        <v>17</v>
      </c>
      <c r="B8" s="20">
        <v>220836</v>
      </c>
      <c r="C8" s="21">
        <v>147101</v>
      </c>
      <c r="D8" s="22">
        <v>73735</v>
      </c>
      <c r="E8" s="23">
        <v>114993</v>
      </c>
      <c r="F8" s="21">
        <v>70147</v>
      </c>
      <c r="G8" s="24">
        <v>44846</v>
      </c>
      <c r="H8" s="23">
        <v>38517</v>
      </c>
      <c r="I8" s="25">
        <v>11611</v>
      </c>
      <c r="J8" s="26">
        <v>26906</v>
      </c>
      <c r="K8" s="27">
        <v>36965</v>
      </c>
      <c r="L8" s="28">
        <v>7795</v>
      </c>
    </row>
    <row r="9" spans="1:12" ht="18" customHeight="1">
      <c r="A9" s="29" t="s">
        <v>18</v>
      </c>
      <c r="B9" s="30">
        <v>9075</v>
      </c>
      <c r="C9" s="31">
        <v>0</v>
      </c>
      <c r="D9" s="32">
        <v>9075</v>
      </c>
      <c r="E9" s="33">
        <v>1687</v>
      </c>
      <c r="F9" s="31">
        <v>0</v>
      </c>
      <c r="G9" s="34">
        <v>1687</v>
      </c>
      <c r="H9" s="33">
        <v>0</v>
      </c>
      <c r="I9" s="35">
        <v>1331</v>
      </c>
      <c r="J9" s="32">
        <v>-1331</v>
      </c>
      <c r="K9" s="36">
        <v>4605</v>
      </c>
      <c r="L9" s="37">
        <v>17373</v>
      </c>
    </row>
    <row r="10" spans="1:12" ht="18" customHeight="1">
      <c r="A10" s="29" t="s">
        <v>19</v>
      </c>
      <c r="B10" s="30">
        <v>24939</v>
      </c>
      <c r="C10" s="31">
        <v>4292</v>
      </c>
      <c r="D10" s="32">
        <v>20647</v>
      </c>
      <c r="E10" s="33">
        <v>20314</v>
      </c>
      <c r="F10" s="31">
        <v>4702</v>
      </c>
      <c r="G10" s="34">
        <v>15612</v>
      </c>
      <c r="H10" s="33">
        <v>565</v>
      </c>
      <c r="I10" s="35">
        <v>1818</v>
      </c>
      <c r="J10" s="32">
        <v>-1253</v>
      </c>
      <c r="K10" s="36">
        <v>5779</v>
      </c>
      <c r="L10" s="37">
        <v>3880</v>
      </c>
    </row>
    <row r="11" spans="1:12" ht="18" customHeight="1">
      <c r="A11" s="29" t="s">
        <v>20</v>
      </c>
      <c r="B11" s="30">
        <v>8857</v>
      </c>
      <c r="C11" s="31">
        <v>916</v>
      </c>
      <c r="D11" s="32">
        <v>7941</v>
      </c>
      <c r="E11" s="33">
        <v>5402</v>
      </c>
      <c r="F11" s="31">
        <v>246</v>
      </c>
      <c r="G11" s="34">
        <v>5156</v>
      </c>
      <c r="H11" s="33">
        <v>275</v>
      </c>
      <c r="I11" s="35">
        <v>128</v>
      </c>
      <c r="J11" s="32">
        <v>147</v>
      </c>
      <c r="K11" s="36">
        <v>2941</v>
      </c>
      <c r="L11" s="37">
        <v>4049</v>
      </c>
    </row>
    <row r="12" spans="1:12" ht="18" customHeight="1">
      <c r="A12" s="29" t="s">
        <v>21</v>
      </c>
      <c r="B12" s="30">
        <v>112936</v>
      </c>
      <c r="C12" s="31">
        <v>95433</v>
      </c>
      <c r="D12" s="32">
        <v>17503</v>
      </c>
      <c r="E12" s="33">
        <v>53210</v>
      </c>
      <c r="F12" s="31">
        <v>40355</v>
      </c>
      <c r="G12" s="34">
        <v>12855</v>
      </c>
      <c r="H12" s="33">
        <v>25834</v>
      </c>
      <c r="I12" s="35">
        <v>12112</v>
      </c>
      <c r="J12" s="32">
        <v>13722</v>
      </c>
      <c r="K12" s="36">
        <v>18805</v>
      </c>
      <c r="L12" s="37">
        <v>4467</v>
      </c>
    </row>
    <row r="13" spans="1:12" ht="18" customHeight="1">
      <c r="A13" s="29" t="s">
        <v>22</v>
      </c>
      <c r="B13" s="30">
        <v>52200</v>
      </c>
      <c r="C13" s="31">
        <v>42552</v>
      </c>
      <c r="D13" s="32">
        <v>9648</v>
      </c>
      <c r="E13" s="33">
        <v>25362</v>
      </c>
      <c r="F13" s="31">
        <v>19140</v>
      </c>
      <c r="G13" s="34">
        <v>6222</v>
      </c>
      <c r="H13" s="33">
        <v>13028</v>
      </c>
      <c r="I13" s="35">
        <v>4947</v>
      </c>
      <c r="J13" s="32">
        <v>8081</v>
      </c>
      <c r="K13" s="36">
        <v>12626</v>
      </c>
      <c r="L13" s="37">
        <v>3036</v>
      </c>
    </row>
    <row r="14" spans="1:12" ht="18" customHeight="1">
      <c r="A14" s="29" t="s">
        <v>23</v>
      </c>
      <c r="B14" s="30">
        <v>169119</v>
      </c>
      <c r="C14" s="31">
        <v>45007</v>
      </c>
      <c r="D14" s="32">
        <v>124112</v>
      </c>
      <c r="E14" s="33">
        <v>89793</v>
      </c>
      <c r="F14" s="31">
        <v>25042</v>
      </c>
      <c r="G14" s="34">
        <v>64751</v>
      </c>
      <c r="H14" s="33">
        <v>13615</v>
      </c>
      <c r="I14" s="35">
        <v>18395</v>
      </c>
      <c r="J14" s="32">
        <v>-4780</v>
      </c>
      <c r="K14" s="36">
        <v>25240</v>
      </c>
      <c r="L14" s="37">
        <v>17500</v>
      </c>
    </row>
    <row r="15" spans="1:12" ht="18" customHeight="1">
      <c r="A15" s="29" t="s">
        <v>24</v>
      </c>
      <c r="B15" s="30">
        <v>78081</v>
      </c>
      <c r="C15" s="31">
        <v>9952</v>
      </c>
      <c r="D15" s="32">
        <v>68129</v>
      </c>
      <c r="E15" s="33">
        <v>56459</v>
      </c>
      <c r="F15" s="31">
        <v>8186</v>
      </c>
      <c r="G15" s="34">
        <v>48273</v>
      </c>
      <c r="H15" s="33">
        <v>1564</v>
      </c>
      <c r="I15" s="35">
        <v>8057</v>
      </c>
      <c r="J15" s="32">
        <v>-6493</v>
      </c>
      <c r="K15" s="36">
        <v>11324</v>
      </c>
      <c r="L15" s="37">
        <v>3791</v>
      </c>
    </row>
    <row r="16" spans="1:12" ht="18" customHeight="1">
      <c r="A16" s="29" t="s">
        <v>25</v>
      </c>
      <c r="B16" s="30">
        <v>25508</v>
      </c>
      <c r="C16" s="31">
        <v>4550</v>
      </c>
      <c r="D16" s="32">
        <v>20958</v>
      </c>
      <c r="E16" s="33">
        <v>17154</v>
      </c>
      <c r="F16" s="31">
        <v>31052</v>
      </c>
      <c r="G16" s="34">
        <v>-13898</v>
      </c>
      <c r="H16" s="33">
        <v>0</v>
      </c>
      <c r="I16" s="35">
        <v>3028</v>
      </c>
      <c r="J16" s="32">
        <v>-3028</v>
      </c>
      <c r="K16" s="36">
        <v>6079</v>
      </c>
      <c r="L16" s="37">
        <v>915</v>
      </c>
    </row>
    <row r="17" spans="1:13" ht="18" customHeight="1">
      <c r="A17" s="29" t="s">
        <v>26</v>
      </c>
      <c r="B17" s="30">
        <v>230301</v>
      </c>
      <c r="C17" s="31">
        <v>111157</v>
      </c>
      <c r="D17" s="32">
        <v>119144</v>
      </c>
      <c r="E17" s="33">
        <v>105472</v>
      </c>
      <c r="F17" s="31">
        <v>19120</v>
      </c>
      <c r="G17" s="34">
        <v>86352</v>
      </c>
      <c r="H17" s="33">
        <v>22872</v>
      </c>
      <c r="I17" s="35">
        <v>16124</v>
      </c>
      <c r="J17" s="32">
        <v>6748</v>
      </c>
      <c r="K17" s="36">
        <v>19341</v>
      </c>
      <c r="L17" s="37">
        <v>13252</v>
      </c>
    </row>
    <row r="18" spans="1:13" ht="18" customHeight="1">
      <c r="A18" s="29" t="s">
        <v>27</v>
      </c>
      <c r="B18" s="30">
        <v>255340</v>
      </c>
      <c r="C18" s="31">
        <v>91531</v>
      </c>
      <c r="D18" s="32">
        <v>163809</v>
      </c>
      <c r="E18" s="33">
        <v>137434</v>
      </c>
      <c r="F18" s="31">
        <v>21335</v>
      </c>
      <c r="G18" s="34">
        <v>116099</v>
      </c>
      <c r="H18" s="33">
        <v>21595</v>
      </c>
      <c r="I18" s="35">
        <v>26748</v>
      </c>
      <c r="J18" s="32">
        <v>-5153</v>
      </c>
      <c r="K18" s="36">
        <v>17069</v>
      </c>
      <c r="L18" s="37">
        <v>30286</v>
      </c>
    </row>
    <row r="19" spans="1:13" ht="18" customHeight="1">
      <c r="A19" s="29" t="s">
        <v>28</v>
      </c>
      <c r="B19" s="30">
        <v>72640</v>
      </c>
      <c r="C19" s="31">
        <v>18392</v>
      </c>
      <c r="D19" s="32">
        <v>54248</v>
      </c>
      <c r="E19" s="33">
        <v>46017</v>
      </c>
      <c r="F19" s="31">
        <v>9424</v>
      </c>
      <c r="G19" s="34">
        <v>36593</v>
      </c>
      <c r="H19" s="33">
        <v>4306</v>
      </c>
      <c r="I19" s="35">
        <v>3609</v>
      </c>
      <c r="J19" s="32">
        <v>697</v>
      </c>
      <c r="K19" s="36">
        <v>22242</v>
      </c>
      <c r="L19" s="37">
        <v>5053</v>
      </c>
    </row>
    <row r="20" spans="1:13" s="48" customFormat="1" ht="18" customHeight="1">
      <c r="A20" s="38" t="s">
        <v>29</v>
      </c>
      <c r="B20" s="39">
        <v>36172</v>
      </c>
      <c r="C20" s="40">
        <v>8022</v>
      </c>
      <c r="D20" s="41">
        <v>28150</v>
      </c>
      <c r="E20" s="42">
        <v>34688</v>
      </c>
      <c r="F20" s="40">
        <v>30844</v>
      </c>
      <c r="G20" s="43">
        <v>3844</v>
      </c>
      <c r="H20" s="42">
        <v>659</v>
      </c>
      <c r="I20" s="44">
        <v>5896</v>
      </c>
      <c r="J20" s="45">
        <v>-5237</v>
      </c>
      <c r="K20" s="46">
        <v>5245</v>
      </c>
      <c r="L20" s="47">
        <v>849</v>
      </c>
    </row>
    <row r="21" spans="1:13" ht="18" customHeight="1">
      <c r="A21" s="29" t="s">
        <v>30</v>
      </c>
      <c r="B21" s="30">
        <v>148329</v>
      </c>
      <c r="C21" s="31">
        <v>86125</v>
      </c>
      <c r="D21" s="32">
        <v>62204</v>
      </c>
      <c r="E21" s="33">
        <v>55933</v>
      </c>
      <c r="F21" s="31">
        <v>23922</v>
      </c>
      <c r="G21" s="34">
        <v>32011</v>
      </c>
      <c r="H21" s="33">
        <v>14688</v>
      </c>
      <c r="I21" s="35">
        <v>2118</v>
      </c>
      <c r="J21" s="32">
        <v>12570</v>
      </c>
      <c r="K21" s="36">
        <v>77730</v>
      </c>
      <c r="L21" s="37">
        <v>67871</v>
      </c>
    </row>
    <row r="22" spans="1:13" ht="18" customHeight="1">
      <c r="A22" s="29" t="s">
        <v>31</v>
      </c>
      <c r="B22" s="30">
        <v>25430</v>
      </c>
      <c r="C22" s="31">
        <v>1356</v>
      </c>
      <c r="D22" s="32">
        <v>24074</v>
      </c>
      <c r="E22" s="33">
        <v>27125</v>
      </c>
      <c r="F22" s="31">
        <v>8498</v>
      </c>
      <c r="G22" s="34">
        <v>18627</v>
      </c>
      <c r="H22" s="33">
        <v>438</v>
      </c>
      <c r="I22" s="35">
        <v>1833</v>
      </c>
      <c r="J22" s="32">
        <v>-1395</v>
      </c>
      <c r="K22" s="36">
        <v>7383</v>
      </c>
      <c r="L22" s="37">
        <v>7536</v>
      </c>
      <c r="M22" s="49"/>
    </row>
    <row r="23" spans="1:13" ht="18" customHeight="1">
      <c r="A23" s="29" t="s">
        <v>32</v>
      </c>
      <c r="B23" s="30">
        <v>70685</v>
      </c>
      <c r="C23" s="31">
        <v>10316</v>
      </c>
      <c r="D23" s="32">
        <v>60369</v>
      </c>
      <c r="E23" s="33">
        <v>43923</v>
      </c>
      <c r="F23" s="31">
        <v>2054</v>
      </c>
      <c r="G23" s="34">
        <v>41869</v>
      </c>
      <c r="H23" s="33">
        <v>2097</v>
      </c>
      <c r="I23" s="35">
        <v>5299</v>
      </c>
      <c r="J23" s="32">
        <v>-3202</v>
      </c>
      <c r="K23" s="36">
        <v>16899</v>
      </c>
      <c r="L23" s="37">
        <v>15796</v>
      </c>
    </row>
    <row r="24" spans="1:13" ht="17.25" customHeight="1">
      <c r="A24" s="29" t="s">
        <v>33</v>
      </c>
      <c r="B24" s="30">
        <v>461610</v>
      </c>
      <c r="C24" s="31">
        <v>280216</v>
      </c>
      <c r="D24" s="32">
        <v>181394</v>
      </c>
      <c r="E24" s="33">
        <v>225195</v>
      </c>
      <c r="F24" s="31">
        <v>126319</v>
      </c>
      <c r="G24" s="34">
        <v>98876</v>
      </c>
      <c r="H24" s="33">
        <v>68689</v>
      </c>
      <c r="I24" s="35">
        <v>46570</v>
      </c>
      <c r="J24" s="32">
        <v>22119</v>
      </c>
      <c r="K24" s="36">
        <v>77906</v>
      </c>
      <c r="L24" s="37">
        <v>57639</v>
      </c>
      <c r="M24" s="49"/>
    </row>
    <row r="25" spans="1:13" s="58" customFormat="1" ht="21" customHeight="1">
      <c r="A25" s="50" t="s">
        <v>34</v>
      </c>
      <c r="B25" s="51">
        <v>2002058</v>
      </c>
      <c r="C25" s="52">
        <v>956918</v>
      </c>
      <c r="D25" s="53">
        <v>1045140</v>
      </c>
      <c r="E25" s="54">
        <v>1060161</v>
      </c>
      <c r="F25" s="55">
        <v>440386</v>
      </c>
      <c r="G25" s="53">
        <v>619775</v>
      </c>
      <c r="H25" s="51">
        <v>228742</v>
      </c>
      <c r="I25" s="55">
        <v>169624</v>
      </c>
      <c r="J25" s="53">
        <v>59118</v>
      </c>
      <c r="K25" s="56">
        <v>368179</v>
      </c>
      <c r="L25" s="57">
        <v>261088</v>
      </c>
    </row>
    <row r="26" spans="1:13" ht="18" customHeight="1">
      <c r="A26" s="59" t="s">
        <v>35</v>
      </c>
      <c r="B26" s="30">
        <v>5233</v>
      </c>
      <c r="C26" s="31">
        <v>5168</v>
      </c>
      <c r="D26" s="32">
        <v>65</v>
      </c>
      <c r="E26" s="33">
        <v>5502</v>
      </c>
      <c r="F26" s="31">
        <v>3677</v>
      </c>
      <c r="G26" s="34">
        <v>1825</v>
      </c>
      <c r="H26" s="33">
        <v>772</v>
      </c>
      <c r="I26" s="35">
        <v>523</v>
      </c>
      <c r="J26" s="32">
        <v>249</v>
      </c>
      <c r="K26" s="36">
        <v>370</v>
      </c>
      <c r="L26" s="37">
        <v>5139</v>
      </c>
    </row>
    <row r="27" spans="1:13" s="69" customFormat="1" ht="18" customHeight="1">
      <c r="A27" s="60" t="s">
        <v>41</v>
      </c>
      <c r="B27" s="61">
        <v>80006</v>
      </c>
      <c r="C27" s="62">
        <v>14523</v>
      </c>
      <c r="D27" s="63">
        <v>65483</v>
      </c>
      <c r="E27" s="64">
        <v>43572</v>
      </c>
      <c r="F27" s="62">
        <v>6178</v>
      </c>
      <c r="G27" s="65">
        <v>37394</v>
      </c>
      <c r="H27" s="64">
        <v>4140</v>
      </c>
      <c r="I27" s="66">
        <v>9282</v>
      </c>
      <c r="J27" s="63">
        <v>-5142</v>
      </c>
      <c r="K27" s="67">
        <v>6775</v>
      </c>
      <c r="L27" s="68">
        <v>12481</v>
      </c>
    </row>
    <row r="28" spans="1:13" s="58" customFormat="1" ht="21" customHeight="1">
      <c r="A28" s="50" t="s">
        <v>37</v>
      </c>
      <c r="B28" s="51">
        <v>85239</v>
      </c>
      <c r="C28" s="52">
        <v>19691</v>
      </c>
      <c r="D28" s="53">
        <v>65548</v>
      </c>
      <c r="E28" s="54">
        <v>49074</v>
      </c>
      <c r="F28" s="55">
        <v>9855</v>
      </c>
      <c r="G28" s="53">
        <v>39219</v>
      </c>
      <c r="H28" s="51">
        <v>4912</v>
      </c>
      <c r="I28" s="55">
        <v>9805</v>
      </c>
      <c r="J28" s="53">
        <v>-4893</v>
      </c>
      <c r="K28" s="56">
        <v>7145</v>
      </c>
      <c r="L28" s="70">
        <v>17620</v>
      </c>
    </row>
    <row r="29" spans="1:13" ht="24" customHeight="1">
      <c r="A29" s="71" t="s">
        <v>38</v>
      </c>
      <c r="B29" s="72">
        <v>2087297</v>
      </c>
      <c r="C29" s="73">
        <v>976609</v>
      </c>
      <c r="D29" s="74">
        <v>1110688</v>
      </c>
      <c r="E29" s="75">
        <v>1109235</v>
      </c>
      <c r="F29" s="76">
        <v>450241</v>
      </c>
      <c r="G29" s="74">
        <v>658994</v>
      </c>
      <c r="H29" s="72">
        <v>233654</v>
      </c>
      <c r="I29" s="76">
        <v>179429</v>
      </c>
      <c r="J29" s="74">
        <v>54225</v>
      </c>
      <c r="K29" s="77">
        <v>375324</v>
      </c>
      <c r="L29" s="78">
        <v>278708</v>
      </c>
    </row>
    <row r="30" spans="1:13" ht="24.75" customHeight="1">
      <c r="A30" s="79" t="s">
        <v>39</v>
      </c>
    </row>
  </sheetData>
  <sheetProtection password="DFED" sheet="1" objects="1" scenarios="1"/>
  <phoneticPr fontId="0" type="noConversion"/>
  <pageMargins left="0.4" right="0.24" top="0.17" bottom="0.41" header="0.17" footer="0.28999999999999998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30.28515625" customWidth="1"/>
    <col min="2" max="2" width="13.7109375" customWidth="1"/>
    <col min="3" max="3" width="15.5703125" customWidth="1"/>
    <col min="4" max="4" width="10.85546875" customWidth="1"/>
    <col min="6" max="6" width="13.85546875" customWidth="1"/>
    <col min="7" max="7" width="9.7109375" customWidth="1"/>
    <col min="8" max="8" width="9" bestFit="1" customWidth="1"/>
    <col min="9" max="9" width="12.7109375" bestFit="1" customWidth="1"/>
    <col min="10" max="10" width="8.140625" customWidth="1"/>
    <col min="11" max="11" width="15" style="80" customWidth="1"/>
    <col min="12" max="12" width="13.28515625" style="80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5" t="s">
        <v>0</v>
      </c>
    </row>
    <row r="2" spans="1:12" ht="36.75" customHeight="1">
      <c r="A2" s="1"/>
      <c r="B2" s="1"/>
      <c r="C2" s="1"/>
      <c r="D2" s="1"/>
      <c r="E2" s="1"/>
      <c r="F2" s="4" t="s">
        <v>1</v>
      </c>
      <c r="H2" s="1"/>
      <c r="I2" s="1"/>
      <c r="J2" s="1"/>
      <c r="K2" s="2"/>
      <c r="L2" s="2"/>
    </row>
    <row r="3" spans="1:12" ht="19.5">
      <c r="A3" s="1"/>
      <c r="B3" s="1"/>
      <c r="C3" s="1"/>
      <c r="D3" s="1"/>
      <c r="E3" s="1"/>
      <c r="F3" s="4" t="s">
        <v>42</v>
      </c>
      <c r="H3" s="1"/>
      <c r="I3" s="1"/>
      <c r="J3" s="1"/>
      <c r="K3" s="2"/>
      <c r="L3" s="2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5" t="s">
        <v>3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6"/>
    </row>
    <row r="6" spans="1:12">
      <c r="A6" s="155" t="s">
        <v>4</v>
      </c>
      <c r="B6" s="8"/>
      <c r="C6" s="9" t="s">
        <v>5</v>
      </c>
      <c r="D6" s="10"/>
      <c r="E6" s="11"/>
      <c r="F6" s="9" t="s">
        <v>6</v>
      </c>
      <c r="G6" s="10"/>
      <c r="H6" s="11"/>
      <c r="I6" s="9" t="s">
        <v>7</v>
      </c>
      <c r="J6" s="10"/>
      <c r="K6" s="12" t="s">
        <v>8</v>
      </c>
      <c r="L6" s="12" t="s">
        <v>9</v>
      </c>
    </row>
    <row r="7" spans="1:12">
      <c r="A7" s="156"/>
      <c r="B7" s="14" t="s">
        <v>10</v>
      </c>
      <c r="C7" s="15" t="s">
        <v>11</v>
      </c>
      <c r="D7" s="16" t="s">
        <v>12</v>
      </c>
      <c r="E7" s="17" t="s">
        <v>10</v>
      </c>
      <c r="F7" s="15" t="s">
        <v>11</v>
      </c>
      <c r="G7" s="16" t="s">
        <v>12</v>
      </c>
      <c r="H7" s="17" t="s">
        <v>13</v>
      </c>
      <c r="I7" s="15" t="s">
        <v>14</v>
      </c>
      <c r="J7" s="16" t="s">
        <v>12</v>
      </c>
      <c r="K7" s="18" t="s">
        <v>15</v>
      </c>
      <c r="L7" s="18" t="s">
        <v>16</v>
      </c>
    </row>
    <row r="8" spans="1:12" ht="21" customHeight="1">
      <c r="A8" s="81" t="s">
        <v>17</v>
      </c>
      <c r="B8" s="82">
        <v>224271</v>
      </c>
      <c r="C8" s="83">
        <v>153977</v>
      </c>
      <c r="D8" s="22">
        <v>70294</v>
      </c>
      <c r="E8" s="84">
        <v>167380</v>
      </c>
      <c r="F8" s="85">
        <v>119059</v>
      </c>
      <c r="G8" s="24">
        <v>48321</v>
      </c>
      <c r="H8" s="84">
        <v>37032</v>
      </c>
      <c r="I8" s="84">
        <v>11105</v>
      </c>
      <c r="J8" s="26">
        <v>25927</v>
      </c>
      <c r="K8" s="27">
        <v>35757</v>
      </c>
      <c r="L8" s="28">
        <v>8332</v>
      </c>
    </row>
    <row r="9" spans="1:12" ht="18" customHeight="1">
      <c r="A9" s="86" t="s">
        <v>18</v>
      </c>
      <c r="B9" s="87">
        <v>8337</v>
      </c>
      <c r="C9" s="31">
        <v>102</v>
      </c>
      <c r="D9" s="32">
        <v>8235</v>
      </c>
      <c r="E9" s="88">
        <v>-438</v>
      </c>
      <c r="F9" s="31">
        <v>0</v>
      </c>
      <c r="G9" s="89">
        <v>-438</v>
      </c>
      <c r="H9" s="84">
        <v>0</v>
      </c>
      <c r="I9" s="84">
        <v>1342</v>
      </c>
      <c r="J9" s="32">
        <v>-1342</v>
      </c>
      <c r="K9" s="36">
        <v>4384</v>
      </c>
      <c r="L9" s="37">
        <v>16014</v>
      </c>
    </row>
    <row r="10" spans="1:12" ht="18" customHeight="1">
      <c r="A10" s="86" t="s">
        <v>19</v>
      </c>
      <c r="B10" s="87">
        <v>25487</v>
      </c>
      <c r="C10" s="31">
        <v>5231</v>
      </c>
      <c r="D10" s="90">
        <v>20256</v>
      </c>
      <c r="E10" s="91">
        <v>22538</v>
      </c>
      <c r="F10" s="31">
        <v>5172</v>
      </c>
      <c r="G10" s="89">
        <v>17366</v>
      </c>
      <c r="H10" s="84">
        <v>586</v>
      </c>
      <c r="I10" s="84">
        <v>2021</v>
      </c>
      <c r="J10" s="32">
        <v>-1435</v>
      </c>
      <c r="K10" s="36">
        <v>4850</v>
      </c>
      <c r="L10" s="37">
        <v>4115</v>
      </c>
    </row>
    <row r="11" spans="1:12" ht="18" customHeight="1">
      <c r="A11" s="86" t="s">
        <v>20</v>
      </c>
      <c r="B11" s="87">
        <v>6997</v>
      </c>
      <c r="C11" s="31">
        <v>347</v>
      </c>
      <c r="D11" s="90">
        <v>6650</v>
      </c>
      <c r="E11" s="91">
        <v>4461</v>
      </c>
      <c r="F11" s="31">
        <v>635</v>
      </c>
      <c r="G11" s="89">
        <v>3826</v>
      </c>
      <c r="H11" s="84">
        <v>166</v>
      </c>
      <c r="I11" s="84">
        <v>76</v>
      </c>
      <c r="J11" s="32">
        <v>90</v>
      </c>
      <c r="K11" s="36">
        <v>2430</v>
      </c>
      <c r="L11" s="37">
        <v>3963</v>
      </c>
    </row>
    <row r="12" spans="1:12" ht="18" customHeight="1">
      <c r="A12" s="86" t="s">
        <v>21</v>
      </c>
      <c r="B12" s="87">
        <v>116193</v>
      </c>
      <c r="C12" s="31">
        <v>98171</v>
      </c>
      <c r="D12" s="90">
        <v>18022</v>
      </c>
      <c r="E12" s="91">
        <v>52276</v>
      </c>
      <c r="F12" s="31">
        <v>44459</v>
      </c>
      <c r="G12" s="89">
        <v>7817</v>
      </c>
      <c r="H12" s="84">
        <v>25008</v>
      </c>
      <c r="I12" s="84">
        <v>10553</v>
      </c>
      <c r="J12" s="32">
        <v>14455</v>
      </c>
      <c r="K12" s="36">
        <v>13036</v>
      </c>
      <c r="L12" s="37">
        <v>3474</v>
      </c>
    </row>
    <row r="13" spans="1:12" ht="18" customHeight="1">
      <c r="A13" s="86" t="s">
        <v>22</v>
      </c>
      <c r="B13" s="87">
        <v>50915</v>
      </c>
      <c r="C13" s="31">
        <v>40666</v>
      </c>
      <c r="D13" s="90">
        <v>10249</v>
      </c>
      <c r="E13" s="91">
        <v>26941</v>
      </c>
      <c r="F13" s="31">
        <v>20527</v>
      </c>
      <c r="G13" s="89">
        <v>6414</v>
      </c>
      <c r="H13" s="84">
        <v>15668</v>
      </c>
      <c r="I13" s="84">
        <v>8843</v>
      </c>
      <c r="J13" s="32">
        <v>6825</v>
      </c>
      <c r="K13" s="36">
        <v>9770</v>
      </c>
      <c r="L13" s="37">
        <v>2519</v>
      </c>
    </row>
    <row r="14" spans="1:12" ht="18" customHeight="1">
      <c r="A14" s="86" t="s">
        <v>23</v>
      </c>
      <c r="B14" s="87">
        <v>136135</v>
      </c>
      <c r="C14" s="31">
        <v>58030</v>
      </c>
      <c r="D14" s="90">
        <v>78105</v>
      </c>
      <c r="E14" s="91">
        <v>74561</v>
      </c>
      <c r="F14" s="31">
        <v>24637</v>
      </c>
      <c r="G14" s="89">
        <v>49924</v>
      </c>
      <c r="H14" s="84">
        <v>15293</v>
      </c>
      <c r="I14" s="84">
        <v>14276</v>
      </c>
      <c r="J14" s="32">
        <v>1017</v>
      </c>
      <c r="K14" s="36">
        <v>22106</v>
      </c>
      <c r="L14" s="37">
        <v>13690</v>
      </c>
    </row>
    <row r="15" spans="1:12" ht="18" customHeight="1">
      <c r="A15" s="86" t="s">
        <v>24</v>
      </c>
      <c r="B15" s="87">
        <v>76778</v>
      </c>
      <c r="C15" s="31">
        <v>8871</v>
      </c>
      <c r="D15" s="90">
        <v>67907</v>
      </c>
      <c r="E15" s="91">
        <v>58012</v>
      </c>
      <c r="F15" s="31">
        <v>10213</v>
      </c>
      <c r="G15" s="89">
        <v>47799</v>
      </c>
      <c r="H15" s="84">
        <v>1472</v>
      </c>
      <c r="I15" s="84">
        <v>7920</v>
      </c>
      <c r="J15" s="32">
        <v>-6448</v>
      </c>
      <c r="K15" s="36">
        <v>10043</v>
      </c>
      <c r="L15" s="37">
        <v>3024</v>
      </c>
    </row>
    <row r="16" spans="1:12" ht="18" customHeight="1">
      <c r="A16" s="86" t="s">
        <v>25</v>
      </c>
      <c r="B16" s="87">
        <v>30584</v>
      </c>
      <c r="C16" s="31">
        <v>4059</v>
      </c>
      <c r="D16" s="90">
        <v>26525</v>
      </c>
      <c r="E16" s="91">
        <v>18125</v>
      </c>
      <c r="F16" s="31">
        <v>4546</v>
      </c>
      <c r="G16" s="89">
        <v>13579</v>
      </c>
      <c r="H16" s="84">
        <v>0</v>
      </c>
      <c r="I16" s="84">
        <v>3974</v>
      </c>
      <c r="J16" s="32">
        <v>-3974</v>
      </c>
      <c r="K16" s="36">
        <v>6380</v>
      </c>
      <c r="L16" s="37">
        <v>414</v>
      </c>
    </row>
    <row r="17" spans="1:13" ht="18" customHeight="1">
      <c r="A17" s="86" t="s">
        <v>26</v>
      </c>
      <c r="B17" s="87">
        <v>208228</v>
      </c>
      <c r="C17" s="31">
        <v>104120</v>
      </c>
      <c r="D17" s="90">
        <v>104108</v>
      </c>
      <c r="E17" s="91">
        <v>89572</v>
      </c>
      <c r="F17" s="31">
        <v>37338</v>
      </c>
      <c r="G17" s="89">
        <v>52234</v>
      </c>
      <c r="H17" s="84">
        <v>19296</v>
      </c>
      <c r="I17" s="84">
        <v>11442</v>
      </c>
      <c r="J17" s="32">
        <v>7854</v>
      </c>
      <c r="K17" s="36">
        <v>24091</v>
      </c>
      <c r="L17" s="37">
        <v>12434</v>
      </c>
    </row>
    <row r="18" spans="1:13" ht="18" customHeight="1">
      <c r="A18" s="86" t="s">
        <v>27</v>
      </c>
      <c r="B18" s="87">
        <v>219728</v>
      </c>
      <c r="C18" s="31">
        <v>66340</v>
      </c>
      <c r="D18" s="90">
        <v>153388</v>
      </c>
      <c r="E18" s="91">
        <v>118533</v>
      </c>
      <c r="F18" s="31">
        <v>15369</v>
      </c>
      <c r="G18" s="89">
        <v>103164</v>
      </c>
      <c r="H18" s="84">
        <v>16129</v>
      </c>
      <c r="I18" s="84">
        <v>21836</v>
      </c>
      <c r="J18" s="32">
        <v>-5707</v>
      </c>
      <c r="K18" s="36">
        <v>13690</v>
      </c>
      <c r="L18" s="37">
        <v>25133</v>
      </c>
    </row>
    <row r="19" spans="1:13" ht="18" customHeight="1">
      <c r="A19" s="86" t="s">
        <v>28</v>
      </c>
      <c r="B19" s="87">
        <v>77078</v>
      </c>
      <c r="C19" s="31">
        <v>19581</v>
      </c>
      <c r="D19" s="90">
        <v>57497</v>
      </c>
      <c r="E19" s="91">
        <v>43594</v>
      </c>
      <c r="F19" s="31">
        <v>4717</v>
      </c>
      <c r="G19" s="89">
        <v>38877</v>
      </c>
      <c r="H19" s="84">
        <v>4623</v>
      </c>
      <c r="I19" s="84">
        <v>3143</v>
      </c>
      <c r="J19" s="32">
        <v>1480</v>
      </c>
      <c r="K19" s="36">
        <v>16807</v>
      </c>
      <c r="L19" s="37">
        <v>2298</v>
      </c>
    </row>
    <row r="20" spans="1:13" ht="18" customHeight="1">
      <c r="A20" s="86" t="s">
        <v>43</v>
      </c>
      <c r="B20" s="87">
        <v>25261</v>
      </c>
      <c r="C20" s="31">
        <v>2421</v>
      </c>
      <c r="D20" s="92">
        <v>22840</v>
      </c>
      <c r="E20" s="88">
        <v>9862</v>
      </c>
      <c r="F20" s="31">
        <v>2836</v>
      </c>
      <c r="G20" s="89">
        <v>7026</v>
      </c>
      <c r="H20" s="84">
        <v>438</v>
      </c>
      <c r="I20" s="84">
        <v>2791</v>
      </c>
      <c r="J20" s="32">
        <v>-2353</v>
      </c>
      <c r="K20" s="36">
        <v>4931</v>
      </c>
      <c r="L20" s="37">
        <v>1153</v>
      </c>
    </row>
    <row r="21" spans="1:13" ht="18" customHeight="1">
      <c r="A21" s="86" t="s">
        <v>30</v>
      </c>
      <c r="B21" s="87">
        <v>118029</v>
      </c>
      <c r="C21" s="31">
        <v>75813</v>
      </c>
      <c r="D21" s="32">
        <v>42216</v>
      </c>
      <c r="E21" s="88">
        <v>72074</v>
      </c>
      <c r="F21" s="31">
        <v>31098</v>
      </c>
      <c r="G21" s="89">
        <v>40976</v>
      </c>
      <c r="H21" s="84">
        <v>12556</v>
      </c>
      <c r="I21" s="84">
        <v>1359</v>
      </c>
      <c r="J21" s="32">
        <v>11197</v>
      </c>
      <c r="K21" s="36">
        <v>69818</v>
      </c>
      <c r="L21" s="37">
        <v>65112</v>
      </c>
    </row>
    <row r="22" spans="1:13" ht="18" customHeight="1">
      <c r="A22" s="86" t="s">
        <v>31</v>
      </c>
      <c r="B22" s="87">
        <v>32886</v>
      </c>
      <c r="C22" s="31">
        <v>2753</v>
      </c>
      <c r="D22" s="90">
        <v>30133</v>
      </c>
      <c r="E22" s="91">
        <v>35241</v>
      </c>
      <c r="F22" s="31">
        <v>3780</v>
      </c>
      <c r="G22" s="89">
        <v>31461</v>
      </c>
      <c r="H22" s="84">
        <v>879</v>
      </c>
      <c r="I22" s="84">
        <v>2430</v>
      </c>
      <c r="J22" s="32">
        <v>-1551</v>
      </c>
      <c r="K22" s="36">
        <v>7114</v>
      </c>
      <c r="L22" s="37">
        <v>1666</v>
      </c>
      <c r="M22" s="49"/>
    </row>
    <row r="23" spans="1:13" ht="18" customHeight="1">
      <c r="A23" s="86" t="s">
        <v>32</v>
      </c>
      <c r="B23" s="87">
        <v>62912</v>
      </c>
      <c r="C23" s="31">
        <v>9404</v>
      </c>
      <c r="D23" s="90">
        <v>53508</v>
      </c>
      <c r="E23" s="91">
        <v>46614</v>
      </c>
      <c r="F23" s="31">
        <v>3293</v>
      </c>
      <c r="G23" s="89">
        <v>43321</v>
      </c>
      <c r="H23" s="84">
        <v>1891</v>
      </c>
      <c r="I23" s="84">
        <v>3894</v>
      </c>
      <c r="J23" s="32">
        <v>-2003</v>
      </c>
      <c r="K23" s="36">
        <v>13579</v>
      </c>
      <c r="L23" s="37">
        <v>14611</v>
      </c>
    </row>
    <row r="24" spans="1:13" ht="17.25" customHeight="1">
      <c r="A24" s="86" t="s">
        <v>33</v>
      </c>
      <c r="B24" s="87">
        <v>481666</v>
      </c>
      <c r="C24" s="31">
        <v>307932</v>
      </c>
      <c r="D24" s="90">
        <v>173734</v>
      </c>
      <c r="E24" s="91">
        <v>210082</v>
      </c>
      <c r="F24" s="31">
        <v>103181</v>
      </c>
      <c r="G24" s="89">
        <v>106901</v>
      </c>
      <c r="H24" s="93">
        <v>65281</v>
      </c>
      <c r="I24" s="93">
        <v>42373</v>
      </c>
      <c r="J24" s="32">
        <v>22908</v>
      </c>
      <c r="K24" s="36">
        <v>67268</v>
      </c>
      <c r="L24" s="37">
        <v>52814</v>
      </c>
      <c r="M24" s="49"/>
    </row>
    <row r="25" spans="1:13" s="58" customFormat="1" ht="21" customHeight="1">
      <c r="A25" s="94" t="s">
        <v>34</v>
      </c>
      <c r="B25" s="95">
        <v>1901485</v>
      </c>
      <c r="C25" s="52">
        <v>957818</v>
      </c>
      <c r="D25" s="53">
        <v>943667</v>
      </c>
      <c r="E25" s="96">
        <v>1049428</v>
      </c>
      <c r="F25" s="55">
        <v>430860</v>
      </c>
      <c r="G25" s="70">
        <v>618568</v>
      </c>
      <c r="H25" s="51">
        <v>216318</v>
      </c>
      <c r="I25" s="55">
        <v>149378</v>
      </c>
      <c r="J25" s="53">
        <v>66940</v>
      </c>
      <c r="K25" s="56">
        <v>326054</v>
      </c>
      <c r="L25" s="57">
        <v>230766</v>
      </c>
    </row>
    <row r="26" spans="1:13" ht="18" customHeight="1">
      <c r="A26" s="97" t="s">
        <v>35</v>
      </c>
      <c r="B26" s="87">
        <v>-15660</v>
      </c>
      <c r="C26" s="31">
        <v>-7021</v>
      </c>
      <c r="D26" s="98">
        <v>-8639</v>
      </c>
      <c r="E26" s="33">
        <v>59751</v>
      </c>
      <c r="F26" s="31">
        <v>58141</v>
      </c>
      <c r="G26" s="89">
        <v>1610</v>
      </c>
      <c r="H26" s="84">
        <v>-1697</v>
      </c>
      <c r="I26" s="84">
        <v>-2202</v>
      </c>
      <c r="J26" s="32">
        <v>505</v>
      </c>
      <c r="K26" s="36">
        <v>1371</v>
      </c>
      <c r="L26" s="37">
        <v>7153</v>
      </c>
    </row>
    <row r="27" spans="1:13" ht="18" customHeight="1">
      <c r="A27" s="86" t="s">
        <v>44</v>
      </c>
      <c r="B27" s="87">
        <v>80006</v>
      </c>
      <c r="C27" s="31">
        <v>14523</v>
      </c>
      <c r="D27" s="90">
        <v>65483</v>
      </c>
      <c r="E27" s="99">
        <v>43572</v>
      </c>
      <c r="F27" s="31">
        <v>6178</v>
      </c>
      <c r="G27" s="100">
        <v>37394</v>
      </c>
      <c r="H27" s="99">
        <v>4140</v>
      </c>
      <c r="I27" s="35">
        <v>9282</v>
      </c>
      <c r="J27" s="32">
        <v>-5142</v>
      </c>
      <c r="K27" s="36">
        <v>6775</v>
      </c>
      <c r="L27" s="37">
        <v>12481</v>
      </c>
    </row>
    <row r="28" spans="1:13" s="58" customFormat="1" ht="21" customHeight="1">
      <c r="A28" s="94" t="s">
        <v>37</v>
      </c>
      <c r="B28" s="95">
        <v>64346</v>
      </c>
      <c r="C28" s="52">
        <v>7502</v>
      </c>
      <c r="D28" s="53">
        <v>56844</v>
      </c>
      <c r="E28" s="96">
        <v>103323</v>
      </c>
      <c r="F28" s="55">
        <v>64319</v>
      </c>
      <c r="G28" s="70">
        <v>39004</v>
      </c>
      <c r="H28" s="101">
        <v>2443</v>
      </c>
      <c r="I28" s="102">
        <v>7080</v>
      </c>
      <c r="J28" s="53">
        <v>-4637</v>
      </c>
      <c r="K28" s="56">
        <v>8146</v>
      </c>
      <c r="L28" s="70">
        <v>19634</v>
      </c>
    </row>
    <row r="29" spans="1:13" ht="24" customHeight="1">
      <c r="A29" s="103" t="s">
        <v>38</v>
      </c>
      <c r="B29" s="104">
        <v>1965831</v>
      </c>
      <c r="C29" s="73">
        <v>965320</v>
      </c>
      <c r="D29" s="74">
        <v>1000511</v>
      </c>
      <c r="E29" s="105">
        <v>1152751</v>
      </c>
      <c r="F29" s="76">
        <v>495179</v>
      </c>
      <c r="G29" s="78">
        <v>657572</v>
      </c>
      <c r="H29" s="106">
        <v>218761</v>
      </c>
      <c r="I29" s="76">
        <v>156458</v>
      </c>
      <c r="J29" s="74">
        <v>62303</v>
      </c>
      <c r="K29" s="77">
        <v>334200</v>
      </c>
      <c r="L29" s="78">
        <v>250400</v>
      </c>
    </row>
    <row r="30" spans="1:13" ht="24.75" customHeight="1">
      <c r="A30" s="79" t="s">
        <v>39</v>
      </c>
    </row>
  </sheetData>
  <sheetProtection password="DFED" sheet="1" objects="1" scenarios="1"/>
  <mergeCells count="1">
    <mergeCell ref="A6:A7"/>
  </mergeCells>
  <phoneticPr fontId="0" type="noConversion"/>
  <pageMargins left="0.24" right="0.32" top="0.17" bottom="0.22" header="0.17" footer="0.27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3" sqref="F13"/>
    </sheetView>
  </sheetViews>
  <sheetFormatPr defaultRowHeight="12.75"/>
  <cols>
    <col min="1" max="1" width="30.28515625" customWidth="1"/>
    <col min="2" max="2" width="13.7109375" customWidth="1"/>
    <col min="3" max="3" width="15.5703125" customWidth="1"/>
    <col min="4" max="4" width="10.85546875" customWidth="1"/>
    <col min="6" max="6" width="13.85546875" customWidth="1"/>
    <col min="7" max="7" width="9.7109375" customWidth="1"/>
    <col min="8" max="8" width="9" bestFit="1" customWidth="1"/>
    <col min="9" max="9" width="12.7109375" bestFit="1" customWidth="1"/>
    <col min="10" max="10" width="8.140625" customWidth="1"/>
    <col min="11" max="11" width="15" style="80" customWidth="1"/>
    <col min="12" max="12" width="13.28515625" style="80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5" t="s">
        <v>0</v>
      </c>
    </row>
    <row r="2" spans="1:12" ht="36.75" customHeight="1">
      <c r="A2" s="1"/>
      <c r="B2" s="1"/>
      <c r="C2" s="1"/>
      <c r="D2" s="1"/>
      <c r="E2" s="1"/>
      <c r="F2" s="4" t="s">
        <v>1</v>
      </c>
      <c r="H2" s="1"/>
      <c r="I2" s="1"/>
      <c r="J2" s="1"/>
      <c r="K2" s="2"/>
      <c r="L2" s="2"/>
    </row>
    <row r="3" spans="1:12" ht="19.5">
      <c r="A3" s="1"/>
      <c r="B3" s="1"/>
      <c r="C3" s="1"/>
      <c r="D3" s="1"/>
      <c r="E3" s="1"/>
      <c r="F3" s="4" t="s">
        <v>45</v>
      </c>
      <c r="H3" s="1"/>
      <c r="I3" s="1"/>
      <c r="J3" s="1"/>
      <c r="K3" s="2"/>
      <c r="L3" s="2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5" t="s">
        <v>3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6"/>
    </row>
    <row r="6" spans="1:12" ht="15.75">
      <c r="A6" s="7" t="s">
        <v>4</v>
      </c>
      <c r="B6" s="8"/>
      <c r="C6" s="9" t="s">
        <v>5</v>
      </c>
      <c r="D6" s="10"/>
      <c r="E6" s="11"/>
      <c r="F6" s="9" t="s">
        <v>6</v>
      </c>
      <c r="G6" s="10"/>
      <c r="H6" s="11"/>
      <c r="I6" s="9" t="s">
        <v>7</v>
      </c>
      <c r="J6" s="10"/>
      <c r="K6" s="12" t="s">
        <v>8</v>
      </c>
      <c r="L6" s="12" t="s">
        <v>9</v>
      </c>
    </row>
    <row r="7" spans="1:12" ht="15.75">
      <c r="A7" s="13"/>
      <c r="B7" s="14" t="s">
        <v>10</v>
      </c>
      <c r="C7" s="15" t="s">
        <v>11</v>
      </c>
      <c r="D7" s="16" t="s">
        <v>12</v>
      </c>
      <c r="E7" s="17" t="s">
        <v>10</v>
      </c>
      <c r="F7" s="15" t="s">
        <v>11</v>
      </c>
      <c r="G7" s="16" t="s">
        <v>12</v>
      </c>
      <c r="H7" s="17" t="s">
        <v>13</v>
      </c>
      <c r="I7" s="15" t="s">
        <v>14</v>
      </c>
      <c r="J7" s="16" t="s">
        <v>12</v>
      </c>
      <c r="K7" s="18" t="s">
        <v>15</v>
      </c>
      <c r="L7" s="18" t="s">
        <v>16</v>
      </c>
    </row>
    <row r="8" spans="1:12" ht="21" customHeight="1">
      <c r="A8" s="81" t="s">
        <v>17</v>
      </c>
      <c r="B8" s="82">
        <v>193391</v>
      </c>
      <c r="C8" s="83">
        <v>133937</v>
      </c>
      <c r="D8" s="90">
        <v>59454</v>
      </c>
      <c r="E8" s="35">
        <v>125298</v>
      </c>
      <c r="F8" s="85">
        <v>86409</v>
      </c>
      <c r="G8" s="24">
        <v>38889</v>
      </c>
      <c r="H8" s="84">
        <v>30068</v>
      </c>
      <c r="I8" s="84">
        <v>8289</v>
      </c>
      <c r="J8" s="26">
        <v>21779</v>
      </c>
      <c r="K8" s="27">
        <v>32805</v>
      </c>
      <c r="L8" s="28">
        <v>8192</v>
      </c>
    </row>
    <row r="9" spans="1:12" ht="18" customHeight="1">
      <c r="A9" s="86" t="s">
        <v>18</v>
      </c>
      <c r="B9" s="87">
        <v>10826</v>
      </c>
      <c r="C9" s="31">
        <v>1267</v>
      </c>
      <c r="D9" s="90">
        <v>9559</v>
      </c>
      <c r="E9" s="91">
        <v>2890</v>
      </c>
      <c r="F9" s="31">
        <v>0</v>
      </c>
      <c r="G9" s="89">
        <v>2890</v>
      </c>
      <c r="H9" s="84">
        <v>0</v>
      </c>
      <c r="I9" s="84">
        <v>1669</v>
      </c>
      <c r="J9" s="32">
        <v>-1669</v>
      </c>
      <c r="K9" s="36">
        <v>4385</v>
      </c>
      <c r="L9" s="37">
        <v>16133</v>
      </c>
    </row>
    <row r="10" spans="1:12" ht="18" customHeight="1">
      <c r="A10" s="86" t="s">
        <v>19</v>
      </c>
      <c r="B10" s="87">
        <v>32248</v>
      </c>
      <c r="C10" s="31">
        <v>4153</v>
      </c>
      <c r="D10" s="90">
        <v>28095</v>
      </c>
      <c r="E10" s="91">
        <v>30647</v>
      </c>
      <c r="F10" s="31">
        <v>7130</v>
      </c>
      <c r="G10" s="89">
        <v>23517</v>
      </c>
      <c r="H10" s="84">
        <v>785</v>
      </c>
      <c r="I10" s="84">
        <v>4284</v>
      </c>
      <c r="J10" s="32">
        <v>-3499</v>
      </c>
      <c r="K10" s="36">
        <v>4673</v>
      </c>
      <c r="L10" s="37">
        <v>4279</v>
      </c>
    </row>
    <row r="11" spans="1:12" ht="18" customHeight="1">
      <c r="A11" s="86" t="s">
        <v>20</v>
      </c>
      <c r="B11" s="87">
        <v>5779</v>
      </c>
      <c r="C11" s="31">
        <v>485</v>
      </c>
      <c r="D11" s="90">
        <v>5294</v>
      </c>
      <c r="E11" s="91">
        <v>4231</v>
      </c>
      <c r="F11" s="31">
        <v>461</v>
      </c>
      <c r="G11" s="89">
        <v>3770</v>
      </c>
      <c r="H11" s="84">
        <v>149</v>
      </c>
      <c r="I11" s="84">
        <v>62</v>
      </c>
      <c r="J11" s="32">
        <v>87</v>
      </c>
      <c r="K11" s="36">
        <v>2301</v>
      </c>
      <c r="L11" s="37">
        <v>3523</v>
      </c>
    </row>
    <row r="12" spans="1:12" ht="18" customHeight="1">
      <c r="A12" s="86" t="s">
        <v>21</v>
      </c>
      <c r="B12" s="87">
        <v>101248</v>
      </c>
      <c r="C12" s="31">
        <v>85576</v>
      </c>
      <c r="D12" s="90">
        <v>15672</v>
      </c>
      <c r="E12" s="91">
        <v>19083</v>
      </c>
      <c r="F12" s="31">
        <v>15659</v>
      </c>
      <c r="G12" s="89">
        <v>3424</v>
      </c>
      <c r="H12" s="84">
        <v>20781</v>
      </c>
      <c r="I12" s="84">
        <v>8140</v>
      </c>
      <c r="J12" s="32">
        <v>12641</v>
      </c>
      <c r="K12" s="36">
        <v>11664</v>
      </c>
      <c r="L12" s="37">
        <v>2004</v>
      </c>
    </row>
    <row r="13" spans="1:12" ht="18" customHeight="1">
      <c r="A13" s="86" t="s">
        <v>46</v>
      </c>
      <c r="B13" s="87">
        <v>3621</v>
      </c>
      <c r="C13" s="31">
        <v>1570</v>
      </c>
      <c r="D13" s="90">
        <v>2051</v>
      </c>
      <c r="E13" s="91">
        <v>395049</v>
      </c>
      <c r="F13" s="31">
        <v>378126</v>
      </c>
      <c r="G13" s="89">
        <v>16923</v>
      </c>
      <c r="H13" s="84">
        <v>-25</v>
      </c>
      <c r="I13" s="84">
        <v>336</v>
      </c>
      <c r="J13" s="32">
        <v>-361</v>
      </c>
      <c r="K13" s="36">
        <v>1059</v>
      </c>
      <c r="L13" s="37">
        <v>5384</v>
      </c>
    </row>
    <row r="14" spans="1:12" ht="18" customHeight="1">
      <c r="A14" s="86" t="s">
        <v>22</v>
      </c>
      <c r="B14" s="87">
        <v>46356</v>
      </c>
      <c r="C14" s="31">
        <v>37756</v>
      </c>
      <c r="D14" s="90">
        <v>8600</v>
      </c>
      <c r="E14" s="91">
        <v>44928</v>
      </c>
      <c r="F14" s="31">
        <v>38271</v>
      </c>
      <c r="G14" s="89">
        <v>6657</v>
      </c>
      <c r="H14" s="84">
        <v>11936</v>
      </c>
      <c r="I14" s="84">
        <v>5510</v>
      </c>
      <c r="J14" s="32">
        <v>6426</v>
      </c>
      <c r="K14" s="36">
        <v>9288</v>
      </c>
      <c r="L14" s="37">
        <v>2561</v>
      </c>
    </row>
    <row r="15" spans="1:12" ht="18" customHeight="1">
      <c r="A15" s="86" t="s">
        <v>23</v>
      </c>
      <c r="B15" s="87">
        <v>123874</v>
      </c>
      <c r="C15" s="31">
        <v>57869</v>
      </c>
      <c r="D15" s="90">
        <v>66005</v>
      </c>
      <c r="E15" s="91">
        <v>137969</v>
      </c>
      <c r="F15" s="31">
        <v>92667</v>
      </c>
      <c r="G15" s="89">
        <v>45302</v>
      </c>
      <c r="H15" s="84">
        <v>15814</v>
      </c>
      <c r="I15" s="84">
        <v>13389</v>
      </c>
      <c r="J15" s="32">
        <v>2425</v>
      </c>
      <c r="K15" s="36">
        <v>18731</v>
      </c>
      <c r="L15" s="37">
        <v>9595</v>
      </c>
    </row>
    <row r="16" spans="1:12" ht="18" customHeight="1">
      <c r="A16" s="86" t="s">
        <v>24</v>
      </c>
      <c r="B16" s="87">
        <v>66675</v>
      </c>
      <c r="C16" s="31">
        <v>6948</v>
      </c>
      <c r="D16" s="90">
        <v>59727</v>
      </c>
      <c r="E16" s="91">
        <v>53552</v>
      </c>
      <c r="F16" s="31">
        <v>8640</v>
      </c>
      <c r="G16" s="89">
        <v>44912</v>
      </c>
      <c r="H16" s="84">
        <v>1131</v>
      </c>
      <c r="I16" s="84">
        <v>6285</v>
      </c>
      <c r="J16" s="32">
        <v>-5154</v>
      </c>
      <c r="K16" s="36">
        <v>10207</v>
      </c>
      <c r="L16" s="37">
        <v>3378</v>
      </c>
    </row>
    <row r="17" spans="1:13" ht="18" customHeight="1">
      <c r="A17" s="86" t="s">
        <v>25</v>
      </c>
      <c r="B17" s="87">
        <v>11049</v>
      </c>
      <c r="C17" s="31">
        <v>971</v>
      </c>
      <c r="D17" s="90">
        <v>10078</v>
      </c>
      <c r="E17" s="91">
        <v>1613</v>
      </c>
      <c r="F17" s="31">
        <v>386</v>
      </c>
      <c r="G17" s="89">
        <v>1227</v>
      </c>
      <c r="H17" s="84">
        <v>13</v>
      </c>
      <c r="I17" s="84">
        <v>1464</v>
      </c>
      <c r="J17" s="32">
        <v>-1451</v>
      </c>
      <c r="K17" s="36">
        <v>3819</v>
      </c>
      <c r="L17" s="37">
        <v>1272</v>
      </c>
    </row>
    <row r="18" spans="1:13" ht="18" customHeight="1">
      <c r="A18" s="86" t="s">
        <v>26</v>
      </c>
      <c r="B18" s="87">
        <v>167930</v>
      </c>
      <c r="C18" s="31">
        <v>80736</v>
      </c>
      <c r="D18" s="90">
        <v>87194</v>
      </c>
      <c r="E18" s="91">
        <v>180735</v>
      </c>
      <c r="F18" s="31">
        <v>117267</v>
      </c>
      <c r="G18" s="89">
        <v>63468</v>
      </c>
      <c r="H18" s="84">
        <v>17014</v>
      </c>
      <c r="I18" s="84">
        <v>10246</v>
      </c>
      <c r="J18" s="32">
        <v>6768</v>
      </c>
      <c r="K18" s="36">
        <v>19682</v>
      </c>
      <c r="L18" s="37">
        <v>12434</v>
      </c>
    </row>
    <row r="19" spans="1:13" ht="18" customHeight="1">
      <c r="A19" s="86" t="s">
        <v>27</v>
      </c>
      <c r="B19" s="87">
        <v>186232</v>
      </c>
      <c r="C19" s="31">
        <v>49803</v>
      </c>
      <c r="D19" s="90">
        <v>136429</v>
      </c>
      <c r="E19" s="91">
        <v>108264</v>
      </c>
      <c r="F19" s="31">
        <v>11959</v>
      </c>
      <c r="G19" s="89">
        <v>96305</v>
      </c>
      <c r="H19" s="84">
        <v>9922</v>
      </c>
      <c r="I19" s="84">
        <v>18437</v>
      </c>
      <c r="J19" s="32">
        <v>-8515</v>
      </c>
      <c r="K19" s="36">
        <v>13272</v>
      </c>
      <c r="L19" s="37">
        <v>25047</v>
      </c>
    </row>
    <row r="20" spans="1:13" ht="18" customHeight="1">
      <c r="A20" s="86" t="s">
        <v>28</v>
      </c>
      <c r="B20" s="87">
        <v>72127</v>
      </c>
      <c r="C20" s="31">
        <v>20253</v>
      </c>
      <c r="D20" s="90">
        <v>51874</v>
      </c>
      <c r="E20" s="91">
        <v>43196</v>
      </c>
      <c r="F20" s="31">
        <v>8789</v>
      </c>
      <c r="G20" s="89">
        <v>34407</v>
      </c>
      <c r="H20" s="84">
        <v>4745</v>
      </c>
      <c r="I20" s="84">
        <v>2876</v>
      </c>
      <c r="J20" s="32">
        <v>1869</v>
      </c>
      <c r="K20" s="36">
        <v>13962</v>
      </c>
      <c r="L20" s="37">
        <v>3677</v>
      </c>
    </row>
    <row r="21" spans="1:13" ht="18" customHeight="1">
      <c r="A21" s="86" t="s">
        <v>43</v>
      </c>
      <c r="B21" s="87">
        <v>1459</v>
      </c>
      <c r="C21" s="31">
        <v>10912</v>
      </c>
      <c r="D21" s="90">
        <v>-9453</v>
      </c>
      <c r="E21" s="91">
        <v>25928</v>
      </c>
      <c r="F21" s="31">
        <v>31190</v>
      </c>
      <c r="G21" s="89">
        <v>-5262</v>
      </c>
      <c r="H21" s="84">
        <v>2264</v>
      </c>
      <c r="I21" s="84">
        <v>297</v>
      </c>
      <c r="J21" s="32">
        <v>1967</v>
      </c>
      <c r="K21" s="36">
        <v>4466</v>
      </c>
      <c r="L21" s="37">
        <v>1538</v>
      </c>
    </row>
    <row r="22" spans="1:13" ht="18" customHeight="1">
      <c r="A22" s="86" t="s">
        <v>30</v>
      </c>
      <c r="B22" s="87">
        <v>99217</v>
      </c>
      <c r="C22" s="31">
        <v>56566</v>
      </c>
      <c r="D22" s="90">
        <v>42651</v>
      </c>
      <c r="E22" s="91">
        <v>72333</v>
      </c>
      <c r="F22" s="31">
        <v>43078</v>
      </c>
      <c r="G22" s="89">
        <v>29255</v>
      </c>
      <c r="H22" s="84">
        <v>15292</v>
      </c>
      <c r="I22" s="84">
        <v>812</v>
      </c>
      <c r="J22" s="32">
        <v>14480</v>
      </c>
      <c r="K22" s="36">
        <v>69102</v>
      </c>
      <c r="L22" s="37">
        <v>64914</v>
      </c>
    </row>
    <row r="23" spans="1:13" ht="18" customHeight="1">
      <c r="A23" s="86" t="s">
        <v>31</v>
      </c>
      <c r="B23" s="87">
        <v>47605</v>
      </c>
      <c r="C23" s="31">
        <v>5933</v>
      </c>
      <c r="D23" s="90">
        <v>41672</v>
      </c>
      <c r="E23" s="91">
        <v>57523</v>
      </c>
      <c r="F23" s="31">
        <v>5630</v>
      </c>
      <c r="G23" s="89">
        <v>51893</v>
      </c>
      <c r="H23" s="84">
        <v>1082</v>
      </c>
      <c r="I23" s="84">
        <v>4339</v>
      </c>
      <c r="J23" s="32">
        <v>-3257</v>
      </c>
      <c r="K23" s="36">
        <v>6402</v>
      </c>
      <c r="L23" s="37">
        <v>946</v>
      </c>
      <c r="M23" s="49"/>
    </row>
    <row r="24" spans="1:13" ht="18" customHeight="1">
      <c r="A24" s="86" t="s">
        <v>32</v>
      </c>
      <c r="B24" s="87">
        <v>70675</v>
      </c>
      <c r="C24" s="31">
        <v>8969</v>
      </c>
      <c r="D24" s="90">
        <v>61706</v>
      </c>
      <c r="E24" s="91">
        <v>53445</v>
      </c>
      <c r="F24" s="31">
        <v>7451</v>
      </c>
      <c r="G24" s="89">
        <v>45994</v>
      </c>
      <c r="H24" s="84">
        <v>1734</v>
      </c>
      <c r="I24" s="84">
        <v>4658</v>
      </c>
      <c r="J24" s="32">
        <v>-2924</v>
      </c>
      <c r="K24" s="36">
        <v>12798</v>
      </c>
      <c r="L24" s="37">
        <v>13688</v>
      </c>
    </row>
    <row r="25" spans="1:13" ht="17.25" customHeight="1">
      <c r="A25" s="86" t="s">
        <v>33</v>
      </c>
      <c r="B25" s="87">
        <v>412783</v>
      </c>
      <c r="C25" s="31">
        <v>234782</v>
      </c>
      <c r="D25" s="90">
        <v>178001</v>
      </c>
      <c r="E25" s="91">
        <v>431008</v>
      </c>
      <c r="F25" s="31">
        <v>317844</v>
      </c>
      <c r="G25" s="89">
        <v>113164</v>
      </c>
      <c r="H25" s="93">
        <v>55149</v>
      </c>
      <c r="I25" s="93">
        <v>34645</v>
      </c>
      <c r="J25" s="32">
        <v>20504</v>
      </c>
      <c r="K25" s="36">
        <v>60287</v>
      </c>
      <c r="L25" s="37">
        <v>42679</v>
      </c>
      <c r="M25" s="49"/>
    </row>
    <row r="26" spans="1:13" s="58" customFormat="1" ht="21" customHeight="1">
      <c r="A26" s="94" t="s">
        <v>34</v>
      </c>
      <c r="B26" s="95">
        <v>1653095</v>
      </c>
      <c r="C26" s="52">
        <v>798486</v>
      </c>
      <c r="D26" s="53">
        <v>854609</v>
      </c>
      <c r="E26" s="96">
        <v>1787692</v>
      </c>
      <c r="F26" s="55">
        <v>1170957</v>
      </c>
      <c r="G26" s="70">
        <v>616735</v>
      </c>
      <c r="H26" s="51">
        <v>187854</v>
      </c>
      <c r="I26" s="55">
        <v>125738</v>
      </c>
      <c r="J26" s="53">
        <v>62116</v>
      </c>
      <c r="K26" s="56">
        <v>298903</v>
      </c>
      <c r="L26" s="57">
        <v>221244</v>
      </c>
    </row>
    <row r="27" spans="1:13" ht="18" customHeight="1">
      <c r="A27" s="97" t="s">
        <v>35</v>
      </c>
      <c r="B27" s="87">
        <v>78926</v>
      </c>
      <c r="C27" s="31">
        <v>51246</v>
      </c>
      <c r="D27" s="98">
        <v>27680</v>
      </c>
      <c r="E27" s="33">
        <v>204175</v>
      </c>
      <c r="F27" s="31">
        <v>155254</v>
      </c>
      <c r="G27" s="89">
        <v>48921</v>
      </c>
      <c r="H27" s="84">
        <v>18231</v>
      </c>
      <c r="I27" s="84">
        <v>27609</v>
      </c>
      <c r="J27" s="32">
        <v>-9378</v>
      </c>
      <c r="K27" s="36">
        <v>3449</v>
      </c>
      <c r="L27" s="37">
        <v>16151</v>
      </c>
    </row>
    <row r="28" spans="1:13" ht="18" customHeight="1">
      <c r="A28" s="86" t="s">
        <v>44</v>
      </c>
      <c r="B28" s="87">
        <v>71858</v>
      </c>
      <c r="C28" s="31">
        <v>16377</v>
      </c>
      <c r="D28" s="90">
        <v>55481</v>
      </c>
      <c r="E28" s="99">
        <v>41043</v>
      </c>
      <c r="F28" s="31">
        <v>6932</v>
      </c>
      <c r="G28" s="100">
        <v>34111</v>
      </c>
      <c r="H28" s="99">
        <v>3910</v>
      </c>
      <c r="I28" s="35">
        <v>7769</v>
      </c>
      <c r="J28" s="32">
        <v>-3859</v>
      </c>
      <c r="K28" s="36">
        <v>5975</v>
      </c>
      <c r="L28" s="37">
        <v>9373</v>
      </c>
    </row>
    <row r="29" spans="1:13" s="58" customFormat="1" ht="21" customHeight="1">
      <c r="A29" s="94" t="s">
        <v>37</v>
      </c>
      <c r="B29" s="95">
        <v>150784</v>
      </c>
      <c r="C29" s="52">
        <v>67623</v>
      </c>
      <c r="D29" s="53">
        <v>83161</v>
      </c>
      <c r="E29" s="96">
        <v>245218</v>
      </c>
      <c r="F29" s="55">
        <v>162186</v>
      </c>
      <c r="G29" s="70">
        <v>83032</v>
      </c>
      <c r="H29" s="101">
        <v>22141</v>
      </c>
      <c r="I29" s="102">
        <v>35378</v>
      </c>
      <c r="J29" s="53">
        <v>-13237</v>
      </c>
      <c r="K29" s="56">
        <v>9424</v>
      </c>
      <c r="L29" s="70">
        <v>25524</v>
      </c>
    </row>
    <row r="30" spans="1:13" ht="24" customHeight="1">
      <c r="A30" s="103" t="s">
        <v>38</v>
      </c>
      <c r="B30" s="104">
        <v>1803879</v>
      </c>
      <c r="C30" s="73">
        <v>866109</v>
      </c>
      <c r="D30" s="74">
        <v>937770</v>
      </c>
      <c r="E30" s="105">
        <v>2032910</v>
      </c>
      <c r="F30" s="76">
        <v>1333143</v>
      </c>
      <c r="G30" s="78">
        <v>699767</v>
      </c>
      <c r="H30" s="106">
        <v>209995</v>
      </c>
      <c r="I30" s="76">
        <v>161116</v>
      </c>
      <c r="J30" s="74">
        <v>48879</v>
      </c>
      <c r="K30" s="77">
        <v>308327</v>
      </c>
      <c r="L30" s="78">
        <v>246768</v>
      </c>
    </row>
    <row r="31" spans="1:13" ht="24.75" customHeight="1">
      <c r="A31" s="79" t="s">
        <v>39</v>
      </c>
    </row>
  </sheetData>
  <sheetProtection password="DFED" sheet="1" objects="1" scenarios="1"/>
  <phoneticPr fontId="0" type="noConversion"/>
  <pageMargins left="0.24" right="0.17" top="0.17" bottom="0.22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financial Services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dramsamy</cp:lastModifiedBy>
  <cp:lastPrinted>2008-05-20T12:39:21Z</cp:lastPrinted>
  <dcterms:created xsi:type="dcterms:W3CDTF">2004-02-16T10:17:00Z</dcterms:created>
  <dcterms:modified xsi:type="dcterms:W3CDTF">2012-06-22T07:06:19Z</dcterms:modified>
</cp:coreProperties>
</file>